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tization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E3F4EA"/>
      </patternFill>
    </fill>
    <fill>
      <patternFill patternType="solid">
        <fgColor rgb="000870F8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4" fontId="0" fillId="3" borderId="1" pivotButton="0" quotePrefix="0" xfId="0"/>
    <xf numFmtId="10" fontId="0" fillId="3" borderId="1" pivotButton="0" quotePrefix="0" xfId="0"/>
    <xf numFmtId="1" fontId="0" fillId="3" borderId="1" pivotButton="0" quotePrefix="0" xfId="0"/>
    <xf numFmtId="164" fontId="0" fillId="3" borderId="1" pivotButton="0" quotePrefix="0" xfId="0"/>
    <xf numFmtId="4" fontId="3" fillId="4" borderId="1" pivotButton="0" quotePrefix="0" xfId="0"/>
    <xf numFmtId="164" fontId="3" fillId="4" borderId="1" pivotButton="0" quotePrefix="0" xfId="0"/>
    <xf numFmtId="1" fontId="3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0" fillId="4" borderId="1" pivotButton="0" quotePrefix="0" xfId="0"/>
    <xf numFmtId="164" fontId="0" fillId="4" borderId="1" pivotButton="0" quotePrefix="0" xfId="0"/>
    <xf numFmtId="4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Remaining balance</a:t>
            </a:r>
          </a:p>
        </rich>
      </tx>
    </title>
    <plotArea>
      <lineChart>
        <grouping val="standard"/>
        <ser>
          <idx val="0"/>
          <order val="0"/>
          <tx>
            <strRef>
              <f>'Amortization'!G16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'Amortization'!$A$17:$A$377</f>
            </numRef>
          </cat>
          <val>
            <numRef>
              <f>'Amortization'!$G$17:$G$377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0"/>
  <sheetViews>
    <sheetView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4" customWidth="1" min="4" max="4"/>
    <col width="14" customWidth="1" min="5" max="5"/>
    <col width="12" customWidth="1" min="6" max="6"/>
    <col width="16" customWidth="1" min="7" max="7"/>
  </cols>
  <sheetData>
    <row r="1" ht="34" customHeight="1">
      <c r="A1" s="1" t="inlineStr">
        <is>
          <t>Loan Amortization Schedule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Change the yellow cells. The schedule, totals and payoff date update automatically. Add extra payments to see the savings.</t>
        </is>
      </c>
    </row>
    <row r="4">
      <c r="A4" s="4" t="inlineStr">
        <is>
          <t>Loan amount ($)</t>
        </is>
      </c>
      <c r="B4" s="5" t="n">
        <v>250000</v>
      </c>
    </row>
    <row r="5">
      <c r="A5" s="4" t="inlineStr">
        <is>
          <t>Annual interest rate (%)</t>
        </is>
      </c>
      <c r="B5" s="6" t="n">
        <v>0.065</v>
      </c>
    </row>
    <row r="6">
      <c r="A6" s="4" t="inlineStr">
        <is>
          <t>Loan term (years)</t>
        </is>
      </c>
      <c r="B6" s="7" t="n">
        <v>30</v>
      </c>
    </row>
    <row r="7">
      <c r="A7" s="4" t="inlineStr">
        <is>
          <t>First payment date</t>
        </is>
      </c>
      <c r="B7" s="8" t="n">
        <v>46357</v>
      </c>
    </row>
    <row r="8">
      <c r="A8" s="4" t="inlineStr">
        <is>
          <t>Extra payment each month ($)</t>
        </is>
      </c>
      <c r="B8" s="5" t="n">
        <v>0</v>
      </c>
    </row>
    <row r="9">
      <c r="A9" s="4" t="inlineStr">
        <is>
          <t>Monthly payment ($)</t>
        </is>
      </c>
      <c r="B9" s="9">
        <f>IFERROR(PMT(B5/12,B6*12,-B4),0)</f>
        <v/>
      </c>
    </row>
    <row r="10">
      <c r="A10" s="4" t="inlineStr">
        <is>
          <t>Total interest, no extra ($)</t>
        </is>
      </c>
      <c r="B10" s="9">
        <f>B9*B6*12-B4</f>
        <v/>
      </c>
    </row>
    <row r="11">
      <c r="A11" s="4" t="inlineStr">
        <is>
          <t>Total interest, with extra ($)</t>
        </is>
      </c>
      <c r="B11" s="9">
        <f>SUM(E17:E377)</f>
        <v/>
      </c>
    </row>
    <row r="12">
      <c r="A12" s="4" t="inlineStr">
        <is>
          <t>Interest saved ($)</t>
        </is>
      </c>
      <c r="B12" s="9">
        <f>B10-B11</f>
        <v/>
      </c>
    </row>
    <row r="13">
      <c r="A13" s="4" t="inlineStr">
        <is>
          <t>Payoff date</t>
        </is>
      </c>
      <c r="B13" s="10">
        <f>IFERROR(INDEX(B17:B377,MATCH(0,G17:G377,0)),"")</f>
        <v/>
      </c>
    </row>
    <row r="14">
      <c r="A14" s="4" t="inlineStr">
        <is>
          <t>Months to payoff</t>
        </is>
      </c>
      <c r="B14" s="11">
        <f>COUNT(A17:A377)</f>
        <v/>
      </c>
    </row>
    <row r="16" ht="28" customHeight="1">
      <c r="A16" s="12" t="inlineStr">
        <is>
          <t>No.</t>
        </is>
      </c>
      <c r="B16" s="12" t="inlineStr">
        <is>
          <t>Date</t>
        </is>
      </c>
      <c r="C16" s="12" t="inlineStr">
        <is>
          <t>Payment ($)</t>
        </is>
      </c>
      <c r="D16" s="12" t="inlineStr">
        <is>
          <t>Principal ($)</t>
        </is>
      </c>
      <c r="E16" s="12" t="inlineStr">
        <is>
          <t>Interest ($)</t>
        </is>
      </c>
      <c r="F16" s="12" t="inlineStr">
        <is>
          <t>Extra ($)</t>
        </is>
      </c>
      <c r="G16" s="12" t="inlineStr">
        <is>
          <t>Balance ($)</t>
        </is>
      </c>
    </row>
    <row r="17">
      <c r="A17" s="13">
        <f>IF(AND(ISNUMBER($B$4),$B$4&gt;0.005),1,"")</f>
        <v/>
      </c>
      <c r="B17" s="14">
        <f>IF(A17="","",EDATE($B$7,0))</f>
        <v/>
      </c>
      <c r="C17" s="15">
        <f>IF(A17="","",MIN($B$9,$B$4+E17))</f>
        <v/>
      </c>
      <c r="D17" s="15">
        <f>IF(A17="","",C17-E17)</f>
        <v/>
      </c>
      <c r="E17" s="15">
        <f>IF(A17="","",$B$4*$B$5/12)</f>
        <v/>
      </c>
      <c r="F17" s="15">
        <f>IF(A17="","",MIN($B$8,$B$4+E17-C17))</f>
        <v/>
      </c>
      <c r="G17" s="15">
        <f>IF(A17="","",MAX(0,$B$4-D17-F17))</f>
        <v/>
      </c>
    </row>
    <row r="18">
      <c r="A18" s="13">
        <f>IF(AND(ISNUMBER(G17),G17&gt;0.005),2,"")</f>
        <v/>
      </c>
      <c r="B18" s="14">
        <f>IF(A18="","",EDATE($B$7,1))</f>
        <v/>
      </c>
      <c r="C18" s="15">
        <f>IF(A18="","",MIN($B$9,G17+E18))</f>
        <v/>
      </c>
      <c r="D18" s="15">
        <f>IF(A18="","",C18-E18)</f>
        <v/>
      </c>
      <c r="E18" s="15">
        <f>IF(A18="","",G17*$B$5/12)</f>
        <v/>
      </c>
      <c r="F18" s="15">
        <f>IF(A18="","",MIN($B$8,G17+E18-C18))</f>
        <v/>
      </c>
      <c r="G18" s="15">
        <f>IF(A18="","",MAX(0,G17-D18-F18))</f>
        <v/>
      </c>
    </row>
    <row r="19">
      <c r="A19" s="13">
        <f>IF(AND(ISNUMBER(G18),G18&gt;0.005),3,"")</f>
        <v/>
      </c>
      <c r="B19" s="14">
        <f>IF(A19="","",EDATE($B$7,2))</f>
        <v/>
      </c>
      <c r="C19" s="15">
        <f>IF(A19="","",MIN($B$9,G18+E19))</f>
        <v/>
      </c>
      <c r="D19" s="15">
        <f>IF(A19="","",C19-E19)</f>
        <v/>
      </c>
      <c r="E19" s="15">
        <f>IF(A19="","",G18*$B$5/12)</f>
        <v/>
      </c>
      <c r="F19" s="15">
        <f>IF(A19="","",MIN($B$8,G18+E19-C19))</f>
        <v/>
      </c>
      <c r="G19" s="15">
        <f>IF(A19="","",MAX(0,G18-D19-F19))</f>
        <v/>
      </c>
    </row>
    <row r="20">
      <c r="A20" s="13">
        <f>IF(AND(ISNUMBER(G19),G19&gt;0.005),4,"")</f>
        <v/>
      </c>
      <c r="B20" s="14">
        <f>IF(A20="","",EDATE($B$7,3))</f>
        <v/>
      </c>
      <c r="C20" s="15">
        <f>IF(A20="","",MIN($B$9,G19+E20))</f>
        <v/>
      </c>
      <c r="D20" s="15">
        <f>IF(A20="","",C20-E20)</f>
        <v/>
      </c>
      <c r="E20" s="15">
        <f>IF(A20="","",G19*$B$5/12)</f>
        <v/>
      </c>
      <c r="F20" s="15">
        <f>IF(A20="","",MIN($B$8,G19+E20-C20))</f>
        <v/>
      </c>
      <c r="G20" s="15">
        <f>IF(A20="","",MAX(0,G19-D20-F20))</f>
        <v/>
      </c>
    </row>
    <row r="21">
      <c r="A21" s="13">
        <f>IF(AND(ISNUMBER(G20),G20&gt;0.005),5,"")</f>
        <v/>
      </c>
      <c r="B21" s="14">
        <f>IF(A21="","",EDATE($B$7,4))</f>
        <v/>
      </c>
      <c r="C21" s="15">
        <f>IF(A21="","",MIN($B$9,G20+E21))</f>
        <v/>
      </c>
      <c r="D21" s="15">
        <f>IF(A21="","",C21-E21)</f>
        <v/>
      </c>
      <c r="E21" s="15">
        <f>IF(A21="","",G20*$B$5/12)</f>
        <v/>
      </c>
      <c r="F21" s="15">
        <f>IF(A21="","",MIN($B$8,G20+E21-C21))</f>
        <v/>
      </c>
      <c r="G21" s="15">
        <f>IF(A21="","",MAX(0,G20-D21-F21))</f>
        <v/>
      </c>
    </row>
    <row r="22">
      <c r="A22" s="13">
        <f>IF(AND(ISNUMBER(G21),G21&gt;0.005),6,"")</f>
        <v/>
      </c>
      <c r="B22" s="14">
        <f>IF(A22="","",EDATE($B$7,5))</f>
        <v/>
      </c>
      <c r="C22" s="15">
        <f>IF(A22="","",MIN($B$9,G21+E22))</f>
        <v/>
      </c>
      <c r="D22" s="15">
        <f>IF(A22="","",C22-E22)</f>
        <v/>
      </c>
      <c r="E22" s="15">
        <f>IF(A22="","",G21*$B$5/12)</f>
        <v/>
      </c>
      <c r="F22" s="15">
        <f>IF(A22="","",MIN($B$8,G21+E22-C22))</f>
        <v/>
      </c>
      <c r="G22" s="15">
        <f>IF(A22="","",MAX(0,G21-D22-F22))</f>
        <v/>
      </c>
    </row>
    <row r="23">
      <c r="A23" s="13">
        <f>IF(AND(ISNUMBER(G22),G22&gt;0.005),7,"")</f>
        <v/>
      </c>
      <c r="B23" s="14">
        <f>IF(A23="","",EDATE($B$7,6))</f>
        <v/>
      </c>
      <c r="C23" s="15">
        <f>IF(A23="","",MIN($B$9,G22+E23))</f>
        <v/>
      </c>
      <c r="D23" s="15">
        <f>IF(A23="","",C23-E23)</f>
        <v/>
      </c>
      <c r="E23" s="15">
        <f>IF(A23="","",G22*$B$5/12)</f>
        <v/>
      </c>
      <c r="F23" s="15">
        <f>IF(A23="","",MIN($B$8,G22+E23-C23))</f>
        <v/>
      </c>
      <c r="G23" s="15">
        <f>IF(A23="","",MAX(0,G22-D23-F23))</f>
        <v/>
      </c>
    </row>
    <row r="24">
      <c r="A24" s="13">
        <f>IF(AND(ISNUMBER(G23),G23&gt;0.005),8,"")</f>
        <v/>
      </c>
      <c r="B24" s="14">
        <f>IF(A24="","",EDATE($B$7,7))</f>
        <v/>
      </c>
      <c r="C24" s="15">
        <f>IF(A24="","",MIN($B$9,G23+E24))</f>
        <v/>
      </c>
      <c r="D24" s="15">
        <f>IF(A24="","",C24-E24)</f>
        <v/>
      </c>
      <c r="E24" s="15">
        <f>IF(A24="","",G23*$B$5/12)</f>
        <v/>
      </c>
      <c r="F24" s="15">
        <f>IF(A24="","",MIN($B$8,G23+E24-C24))</f>
        <v/>
      </c>
      <c r="G24" s="15">
        <f>IF(A24="","",MAX(0,G23-D24-F24))</f>
        <v/>
      </c>
    </row>
    <row r="25">
      <c r="A25" s="13">
        <f>IF(AND(ISNUMBER(G24),G24&gt;0.005),9,"")</f>
        <v/>
      </c>
      <c r="B25" s="14">
        <f>IF(A25="","",EDATE($B$7,8))</f>
        <v/>
      </c>
      <c r="C25" s="15">
        <f>IF(A25="","",MIN($B$9,G24+E25))</f>
        <v/>
      </c>
      <c r="D25" s="15">
        <f>IF(A25="","",C25-E25)</f>
        <v/>
      </c>
      <c r="E25" s="15">
        <f>IF(A25="","",G24*$B$5/12)</f>
        <v/>
      </c>
      <c r="F25" s="15">
        <f>IF(A25="","",MIN($B$8,G24+E25-C25))</f>
        <v/>
      </c>
      <c r="G25" s="15">
        <f>IF(A25="","",MAX(0,G24-D25-F25))</f>
        <v/>
      </c>
    </row>
    <row r="26">
      <c r="A26" s="13">
        <f>IF(AND(ISNUMBER(G25),G25&gt;0.005),10,"")</f>
        <v/>
      </c>
      <c r="B26" s="14">
        <f>IF(A26="","",EDATE($B$7,9))</f>
        <v/>
      </c>
      <c r="C26" s="15">
        <f>IF(A26="","",MIN($B$9,G25+E26))</f>
        <v/>
      </c>
      <c r="D26" s="15">
        <f>IF(A26="","",C26-E26)</f>
        <v/>
      </c>
      <c r="E26" s="15">
        <f>IF(A26="","",G25*$B$5/12)</f>
        <v/>
      </c>
      <c r="F26" s="15">
        <f>IF(A26="","",MIN($B$8,G25+E26-C26))</f>
        <v/>
      </c>
      <c r="G26" s="15">
        <f>IF(A26="","",MAX(0,G25-D26-F26))</f>
        <v/>
      </c>
    </row>
    <row r="27">
      <c r="A27" s="13">
        <f>IF(AND(ISNUMBER(G26),G26&gt;0.005),11,"")</f>
        <v/>
      </c>
      <c r="B27" s="14">
        <f>IF(A27="","",EDATE($B$7,10))</f>
        <v/>
      </c>
      <c r="C27" s="15">
        <f>IF(A27="","",MIN($B$9,G26+E27))</f>
        <v/>
      </c>
      <c r="D27" s="15">
        <f>IF(A27="","",C27-E27)</f>
        <v/>
      </c>
      <c r="E27" s="15">
        <f>IF(A27="","",G26*$B$5/12)</f>
        <v/>
      </c>
      <c r="F27" s="15">
        <f>IF(A27="","",MIN($B$8,G26+E27-C27))</f>
        <v/>
      </c>
      <c r="G27" s="15">
        <f>IF(A27="","",MAX(0,G26-D27-F27))</f>
        <v/>
      </c>
    </row>
    <row r="28">
      <c r="A28" s="13">
        <f>IF(AND(ISNUMBER(G27),G27&gt;0.005),12,"")</f>
        <v/>
      </c>
      <c r="B28" s="14">
        <f>IF(A28="","",EDATE($B$7,11))</f>
        <v/>
      </c>
      <c r="C28" s="15">
        <f>IF(A28="","",MIN($B$9,G27+E28))</f>
        <v/>
      </c>
      <c r="D28" s="15">
        <f>IF(A28="","",C28-E28)</f>
        <v/>
      </c>
      <c r="E28" s="15">
        <f>IF(A28="","",G27*$B$5/12)</f>
        <v/>
      </c>
      <c r="F28" s="15">
        <f>IF(A28="","",MIN($B$8,G27+E28-C28))</f>
        <v/>
      </c>
      <c r="G28" s="15">
        <f>IF(A28="","",MAX(0,G27-D28-F28))</f>
        <v/>
      </c>
    </row>
    <row r="29">
      <c r="A29" s="13">
        <f>IF(AND(ISNUMBER(G28),G28&gt;0.005),13,"")</f>
        <v/>
      </c>
      <c r="B29" s="14">
        <f>IF(A29="","",EDATE($B$7,12))</f>
        <v/>
      </c>
      <c r="C29" s="15">
        <f>IF(A29="","",MIN($B$9,G28+E29))</f>
        <v/>
      </c>
      <c r="D29" s="15">
        <f>IF(A29="","",C29-E29)</f>
        <v/>
      </c>
      <c r="E29" s="15">
        <f>IF(A29="","",G28*$B$5/12)</f>
        <v/>
      </c>
      <c r="F29" s="15">
        <f>IF(A29="","",MIN($B$8,G28+E29-C29))</f>
        <v/>
      </c>
      <c r="G29" s="15">
        <f>IF(A29="","",MAX(0,G28-D29-F29))</f>
        <v/>
      </c>
    </row>
    <row r="30">
      <c r="A30" s="13">
        <f>IF(AND(ISNUMBER(G29),G29&gt;0.005),14,"")</f>
        <v/>
      </c>
      <c r="B30" s="14">
        <f>IF(A30="","",EDATE($B$7,13))</f>
        <v/>
      </c>
      <c r="C30" s="15">
        <f>IF(A30="","",MIN($B$9,G29+E30))</f>
        <v/>
      </c>
      <c r="D30" s="15">
        <f>IF(A30="","",C30-E30)</f>
        <v/>
      </c>
      <c r="E30" s="15">
        <f>IF(A30="","",G29*$B$5/12)</f>
        <v/>
      </c>
      <c r="F30" s="15">
        <f>IF(A30="","",MIN($B$8,G29+E30-C30))</f>
        <v/>
      </c>
      <c r="G30" s="15">
        <f>IF(A30="","",MAX(0,G29-D30-F30))</f>
        <v/>
      </c>
    </row>
    <row r="31">
      <c r="A31" s="13">
        <f>IF(AND(ISNUMBER(G30),G30&gt;0.005),15,"")</f>
        <v/>
      </c>
      <c r="B31" s="14">
        <f>IF(A31="","",EDATE($B$7,14))</f>
        <v/>
      </c>
      <c r="C31" s="15">
        <f>IF(A31="","",MIN($B$9,G30+E31))</f>
        <v/>
      </c>
      <c r="D31" s="15">
        <f>IF(A31="","",C31-E31)</f>
        <v/>
      </c>
      <c r="E31" s="15">
        <f>IF(A31="","",G30*$B$5/12)</f>
        <v/>
      </c>
      <c r="F31" s="15">
        <f>IF(A31="","",MIN($B$8,G30+E31-C31))</f>
        <v/>
      </c>
      <c r="G31" s="15">
        <f>IF(A31="","",MAX(0,G30-D31-F31))</f>
        <v/>
      </c>
    </row>
    <row r="32">
      <c r="A32" s="13">
        <f>IF(AND(ISNUMBER(G31),G31&gt;0.005),16,"")</f>
        <v/>
      </c>
      <c r="B32" s="14">
        <f>IF(A32="","",EDATE($B$7,15))</f>
        <v/>
      </c>
      <c r="C32" s="15">
        <f>IF(A32="","",MIN($B$9,G31+E32))</f>
        <v/>
      </c>
      <c r="D32" s="15">
        <f>IF(A32="","",C32-E32)</f>
        <v/>
      </c>
      <c r="E32" s="15">
        <f>IF(A32="","",G31*$B$5/12)</f>
        <v/>
      </c>
      <c r="F32" s="15">
        <f>IF(A32="","",MIN($B$8,G31+E32-C32))</f>
        <v/>
      </c>
      <c r="G32" s="15">
        <f>IF(A32="","",MAX(0,G31-D32-F32))</f>
        <v/>
      </c>
    </row>
    <row r="33">
      <c r="A33" s="13">
        <f>IF(AND(ISNUMBER(G32),G32&gt;0.005),17,"")</f>
        <v/>
      </c>
      <c r="B33" s="14">
        <f>IF(A33="","",EDATE($B$7,16))</f>
        <v/>
      </c>
      <c r="C33" s="15">
        <f>IF(A33="","",MIN($B$9,G32+E33))</f>
        <v/>
      </c>
      <c r="D33" s="15">
        <f>IF(A33="","",C33-E33)</f>
        <v/>
      </c>
      <c r="E33" s="15">
        <f>IF(A33="","",G32*$B$5/12)</f>
        <v/>
      </c>
      <c r="F33" s="15">
        <f>IF(A33="","",MIN($B$8,G32+E33-C33))</f>
        <v/>
      </c>
      <c r="G33" s="15">
        <f>IF(A33="","",MAX(0,G32-D33-F33))</f>
        <v/>
      </c>
    </row>
    <row r="34">
      <c r="A34" s="13">
        <f>IF(AND(ISNUMBER(G33),G33&gt;0.005),18,"")</f>
        <v/>
      </c>
      <c r="B34" s="14">
        <f>IF(A34="","",EDATE($B$7,17))</f>
        <v/>
      </c>
      <c r="C34" s="15">
        <f>IF(A34="","",MIN($B$9,G33+E34))</f>
        <v/>
      </c>
      <c r="D34" s="15">
        <f>IF(A34="","",C34-E34)</f>
        <v/>
      </c>
      <c r="E34" s="15">
        <f>IF(A34="","",G33*$B$5/12)</f>
        <v/>
      </c>
      <c r="F34" s="15">
        <f>IF(A34="","",MIN($B$8,G33+E34-C34))</f>
        <v/>
      </c>
      <c r="G34" s="15">
        <f>IF(A34="","",MAX(0,G33-D34-F34))</f>
        <v/>
      </c>
    </row>
    <row r="35">
      <c r="A35" s="13">
        <f>IF(AND(ISNUMBER(G34),G34&gt;0.005),19,"")</f>
        <v/>
      </c>
      <c r="B35" s="14">
        <f>IF(A35="","",EDATE($B$7,18))</f>
        <v/>
      </c>
      <c r="C35" s="15">
        <f>IF(A35="","",MIN($B$9,G34+E35))</f>
        <v/>
      </c>
      <c r="D35" s="15">
        <f>IF(A35="","",C35-E35)</f>
        <v/>
      </c>
      <c r="E35" s="15">
        <f>IF(A35="","",G34*$B$5/12)</f>
        <v/>
      </c>
      <c r="F35" s="15">
        <f>IF(A35="","",MIN($B$8,G34+E35-C35))</f>
        <v/>
      </c>
      <c r="G35" s="15">
        <f>IF(A35="","",MAX(0,G34-D35-F35))</f>
        <v/>
      </c>
    </row>
    <row r="36">
      <c r="A36" s="13">
        <f>IF(AND(ISNUMBER(G35),G35&gt;0.005),20,"")</f>
        <v/>
      </c>
      <c r="B36" s="14">
        <f>IF(A36="","",EDATE($B$7,19))</f>
        <v/>
      </c>
      <c r="C36" s="15">
        <f>IF(A36="","",MIN($B$9,G35+E36))</f>
        <v/>
      </c>
      <c r="D36" s="15">
        <f>IF(A36="","",C36-E36)</f>
        <v/>
      </c>
      <c r="E36" s="15">
        <f>IF(A36="","",G35*$B$5/12)</f>
        <v/>
      </c>
      <c r="F36" s="15">
        <f>IF(A36="","",MIN($B$8,G35+E36-C36))</f>
        <v/>
      </c>
      <c r="G36" s="15">
        <f>IF(A36="","",MAX(0,G35-D36-F36))</f>
        <v/>
      </c>
    </row>
    <row r="37">
      <c r="A37" s="13">
        <f>IF(AND(ISNUMBER(G36),G36&gt;0.005),21,"")</f>
        <v/>
      </c>
      <c r="B37" s="14">
        <f>IF(A37="","",EDATE($B$7,20))</f>
        <v/>
      </c>
      <c r="C37" s="15">
        <f>IF(A37="","",MIN($B$9,G36+E37))</f>
        <v/>
      </c>
      <c r="D37" s="15">
        <f>IF(A37="","",C37-E37)</f>
        <v/>
      </c>
      <c r="E37" s="15">
        <f>IF(A37="","",G36*$B$5/12)</f>
        <v/>
      </c>
      <c r="F37" s="15">
        <f>IF(A37="","",MIN($B$8,G36+E37-C37))</f>
        <v/>
      </c>
      <c r="G37" s="15">
        <f>IF(A37="","",MAX(0,G36-D37-F37))</f>
        <v/>
      </c>
    </row>
    <row r="38">
      <c r="A38" s="13">
        <f>IF(AND(ISNUMBER(G37),G37&gt;0.005),22,"")</f>
        <v/>
      </c>
      <c r="B38" s="14">
        <f>IF(A38="","",EDATE($B$7,21))</f>
        <v/>
      </c>
      <c r="C38" s="15">
        <f>IF(A38="","",MIN($B$9,G37+E38))</f>
        <v/>
      </c>
      <c r="D38" s="15">
        <f>IF(A38="","",C38-E38)</f>
        <v/>
      </c>
      <c r="E38" s="15">
        <f>IF(A38="","",G37*$B$5/12)</f>
        <v/>
      </c>
      <c r="F38" s="15">
        <f>IF(A38="","",MIN($B$8,G37+E38-C38))</f>
        <v/>
      </c>
      <c r="G38" s="15">
        <f>IF(A38="","",MAX(0,G37-D38-F38))</f>
        <v/>
      </c>
    </row>
    <row r="39">
      <c r="A39" s="13">
        <f>IF(AND(ISNUMBER(G38),G38&gt;0.005),23,"")</f>
        <v/>
      </c>
      <c r="B39" s="14">
        <f>IF(A39="","",EDATE($B$7,22))</f>
        <v/>
      </c>
      <c r="C39" s="15">
        <f>IF(A39="","",MIN($B$9,G38+E39))</f>
        <v/>
      </c>
      <c r="D39" s="15">
        <f>IF(A39="","",C39-E39)</f>
        <v/>
      </c>
      <c r="E39" s="15">
        <f>IF(A39="","",G38*$B$5/12)</f>
        <v/>
      </c>
      <c r="F39" s="15">
        <f>IF(A39="","",MIN($B$8,G38+E39-C39))</f>
        <v/>
      </c>
      <c r="G39" s="15">
        <f>IF(A39="","",MAX(0,G38-D39-F39))</f>
        <v/>
      </c>
    </row>
    <row r="40">
      <c r="A40" s="13">
        <f>IF(AND(ISNUMBER(G39),G39&gt;0.005),24,"")</f>
        <v/>
      </c>
      <c r="B40" s="14">
        <f>IF(A40="","",EDATE($B$7,23))</f>
        <v/>
      </c>
      <c r="C40" s="15">
        <f>IF(A40="","",MIN($B$9,G39+E40))</f>
        <v/>
      </c>
      <c r="D40" s="15">
        <f>IF(A40="","",C40-E40)</f>
        <v/>
      </c>
      <c r="E40" s="15">
        <f>IF(A40="","",G39*$B$5/12)</f>
        <v/>
      </c>
      <c r="F40" s="15">
        <f>IF(A40="","",MIN($B$8,G39+E40-C40))</f>
        <v/>
      </c>
      <c r="G40" s="15">
        <f>IF(A40="","",MAX(0,G39-D40-F40))</f>
        <v/>
      </c>
    </row>
    <row r="41">
      <c r="A41" s="13">
        <f>IF(AND(ISNUMBER(G40),G40&gt;0.005),25,"")</f>
        <v/>
      </c>
      <c r="B41" s="14">
        <f>IF(A41="","",EDATE($B$7,24))</f>
        <v/>
      </c>
      <c r="C41" s="15">
        <f>IF(A41="","",MIN($B$9,G40+E41))</f>
        <v/>
      </c>
      <c r="D41" s="15">
        <f>IF(A41="","",C41-E41)</f>
        <v/>
      </c>
      <c r="E41" s="15">
        <f>IF(A41="","",G40*$B$5/12)</f>
        <v/>
      </c>
      <c r="F41" s="15">
        <f>IF(A41="","",MIN($B$8,G40+E41-C41))</f>
        <v/>
      </c>
      <c r="G41" s="15">
        <f>IF(A41="","",MAX(0,G40-D41-F41))</f>
        <v/>
      </c>
    </row>
    <row r="42">
      <c r="A42" s="13">
        <f>IF(AND(ISNUMBER(G41),G41&gt;0.005),26,"")</f>
        <v/>
      </c>
      <c r="B42" s="14">
        <f>IF(A42="","",EDATE($B$7,25))</f>
        <v/>
      </c>
      <c r="C42" s="15">
        <f>IF(A42="","",MIN($B$9,G41+E42))</f>
        <v/>
      </c>
      <c r="D42" s="15">
        <f>IF(A42="","",C42-E42)</f>
        <v/>
      </c>
      <c r="E42" s="15">
        <f>IF(A42="","",G41*$B$5/12)</f>
        <v/>
      </c>
      <c r="F42" s="15">
        <f>IF(A42="","",MIN($B$8,G41+E42-C42))</f>
        <v/>
      </c>
      <c r="G42" s="15">
        <f>IF(A42="","",MAX(0,G41-D42-F42))</f>
        <v/>
      </c>
    </row>
    <row r="43">
      <c r="A43" s="13">
        <f>IF(AND(ISNUMBER(G42),G42&gt;0.005),27,"")</f>
        <v/>
      </c>
      <c r="B43" s="14">
        <f>IF(A43="","",EDATE($B$7,26))</f>
        <v/>
      </c>
      <c r="C43" s="15">
        <f>IF(A43="","",MIN($B$9,G42+E43))</f>
        <v/>
      </c>
      <c r="D43" s="15">
        <f>IF(A43="","",C43-E43)</f>
        <v/>
      </c>
      <c r="E43" s="15">
        <f>IF(A43="","",G42*$B$5/12)</f>
        <v/>
      </c>
      <c r="F43" s="15">
        <f>IF(A43="","",MIN($B$8,G42+E43-C43))</f>
        <v/>
      </c>
      <c r="G43" s="15">
        <f>IF(A43="","",MAX(0,G42-D43-F43))</f>
        <v/>
      </c>
    </row>
    <row r="44">
      <c r="A44" s="13">
        <f>IF(AND(ISNUMBER(G43),G43&gt;0.005),28,"")</f>
        <v/>
      </c>
      <c r="B44" s="14">
        <f>IF(A44="","",EDATE($B$7,27))</f>
        <v/>
      </c>
      <c r="C44" s="15">
        <f>IF(A44="","",MIN($B$9,G43+E44))</f>
        <v/>
      </c>
      <c r="D44" s="15">
        <f>IF(A44="","",C44-E44)</f>
        <v/>
      </c>
      <c r="E44" s="15">
        <f>IF(A44="","",G43*$B$5/12)</f>
        <v/>
      </c>
      <c r="F44" s="15">
        <f>IF(A44="","",MIN($B$8,G43+E44-C44))</f>
        <v/>
      </c>
      <c r="G44" s="15">
        <f>IF(A44="","",MAX(0,G43-D44-F44))</f>
        <v/>
      </c>
    </row>
    <row r="45">
      <c r="A45" s="13">
        <f>IF(AND(ISNUMBER(G44),G44&gt;0.005),29,"")</f>
        <v/>
      </c>
      <c r="B45" s="14">
        <f>IF(A45="","",EDATE($B$7,28))</f>
        <v/>
      </c>
      <c r="C45" s="15">
        <f>IF(A45="","",MIN($B$9,G44+E45))</f>
        <v/>
      </c>
      <c r="D45" s="15">
        <f>IF(A45="","",C45-E45)</f>
        <v/>
      </c>
      <c r="E45" s="15">
        <f>IF(A45="","",G44*$B$5/12)</f>
        <v/>
      </c>
      <c r="F45" s="15">
        <f>IF(A45="","",MIN($B$8,G44+E45-C45))</f>
        <v/>
      </c>
      <c r="G45" s="15">
        <f>IF(A45="","",MAX(0,G44-D45-F45))</f>
        <v/>
      </c>
    </row>
    <row r="46">
      <c r="A46" s="13">
        <f>IF(AND(ISNUMBER(G45),G45&gt;0.005),30,"")</f>
        <v/>
      </c>
      <c r="B46" s="14">
        <f>IF(A46="","",EDATE($B$7,29))</f>
        <v/>
      </c>
      <c r="C46" s="15">
        <f>IF(A46="","",MIN($B$9,G45+E46))</f>
        <v/>
      </c>
      <c r="D46" s="15">
        <f>IF(A46="","",C46-E46)</f>
        <v/>
      </c>
      <c r="E46" s="15">
        <f>IF(A46="","",G45*$B$5/12)</f>
        <v/>
      </c>
      <c r="F46" s="15">
        <f>IF(A46="","",MIN($B$8,G45+E46-C46))</f>
        <v/>
      </c>
      <c r="G46" s="15">
        <f>IF(A46="","",MAX(0,G45-D46-F46))</f>
        <v/>
      </c>
    </row>
    <row r="47">
      <c r="A47" s="13">
        <f>IF(AND(ISNUMBER(G46),G46&gt;0.005),31,"")</f>
        <v/>
      </c>
      <c r="B47" s="14">
        <f>IF(A47="","",EDATE($B$7,30))</f>
        <v/>
      </c>
      <c r="C47" s="15">
        <f>IF(A47="","",MIN($B$9,G46+E47))</f>
        <v/>
      </c>
      <c r="D47" s="15">
        <f>IF(A47="","",C47-E47)</f>
        <v/>
      </c>
      <c r="E47" s="15">
        <f>IF(A47="","",G46*$B$5/12)</f>
        <v/>
      </c>
      <c r="F47" s="15">
        <f>IF(A47="","",MIN($B$8,G46+E47-C47))</f>
        <v/>
      </c>
      <c r="G47" s="15">
        <f>IF(A47="","",MAX(0,G46-D47-F47))</f>
        <v/>
      </c>
    </row>
    <row r="48">
      <c r="A48" s="13">
        <f>IF(AND(ISNUMBER(G47),G47&gt;0.005),32,"")</f>
        <v/>
      </c>
      <c r="B48" s="14">
        <f>IF(A48="","",EDATE($B$7,31))</f>
        <v/>
      </c>
      <c r="C48" s="15">
        <f>IF(A48="","",MIN($B$9,G47+E48))</f>
        <v/>
      </c>
      <c r="D48" s="15">
        <f>IF(A48="","",C48-E48)</f>
        <v/>
      </c>
      <c r="E48" s="15">
        <f>IF(A48="","",G47*$B$5/12)</f>
        <v/>
      </c>
      <c r="F48" s="15">
        <f>IF(A48="","",MIN($B$8,G47+E48-C48))</f>
        <v/>
      </c>
      <c r="G48" s="15">
        <f>IF(A48="","",MAX(0,G47-D48-F48))</f>
        <v/>
      </c>
    </row>
    <row r="49">
      <c r="A49" s="13">
        <f>IF(AND(ISNUMBER(G48),G48&gt;0.005),33,"")</f>
        <v/>
      </c>
      <c r="B49" s="14">
        <f>IF(A49="","",EDATE($B$7,32))</f>
        <v/>
      </c>
      <c r="C49" s="15">
        <f>IF(A49="","",MIN($B$9,G48+E49))</f>
        <v/>
      </c>
      <c r="D49" s="15">
        <f>IF(A49="","",C49-E49)</f>
        <v/>
      </c>
      <c r="E49" s="15">
        <f>IF(A49="","",G48*$B$5/12)</f>
        <v/>
      </c>
      <c r="F49" s="15">
        <f>IF(A49="","",MIN($B$8,G48+E49-C49))</f>
        <v/>
      </c>
      <c r="G49" s="15">
        <f>IF(A49="","",MAX(0,G48-D49-F49))</f>
        <v/>
      </c>
    </row>
    <row r="50">
      <c r="A50" s="13">
        <f>IF(AND(ISNUMBER(G49),G49&gt;0.005),34,"")</f>
        <v/>
      </c>
      <c r="B50" s="14">
        <f>IF(A50="","",EDATE($B$7,33))</f>
        <v/>
      </c>
      <c r="C50" s="15">
        <f>IF(A50="","",MIN($B$9,G49+E50))</f>
        <v/>
      </c>
      <c r="D50" s="15">
        <f>IF(A50="","",C50-E50)</f>
        <v/>
      </c>
      <c r="E50" s="15">
        <f>IF(A50="","",G49*$B$5/12)</f>
        <v/>
      </c>
      <c r="F50" s="15">
        <f>IF(A50="","",MIN($B$8,G49+E50-C50))</f>
        <v/>
      </c>
      <c r="G50" s="15">
        <f>IF(A50="","",MAX(0,G49-D50-F50))</f>
        <v/>
      </c>
    </row>
    <row r="51">
      <c r="A51" s="13">
        <f>IF(AND(ISNUMBER(G50),G50&gt;0.005),35,"")</f>
        <v/>
      </c>
      <c r="B51" s="14">
        <f>IF(A51="","",EDATE($B$7,34))</f>
        <v/>
      </c>
      <c r="C51" s="15">
        <f>IF(A51="","",MIN($B$9,G50+E51))</f>
        <v/>
      </c>
      <c r="D51" s="15">
        <f>IF(A51="","",C51-E51)</f>
        <v/>
      </c>
      <c r="E51" s="15">
        <f>IF(A51="","",G50*$B$5/12)</f>
        <v/>
      </c>
      <c r="F51" s="15">
        <f>IF(A51="","",MIN($B$8,G50+E51-C51))</f>
        <v/>
      </c>
      <c r="G51" s="15">
        <f>IF(A51="","",MAX(0,G50-D51-F51))</f>
        <v/>
      </c>
    </row>
    <row r="52">
      <c r="A52" s="13">
        <f>IF(AND(ISNUMBER(G51),G51&gt;0.005),36,"")</f>
        <v/>
      </c>
      <c r="B52" s="14">
        <f>IF(A52="","",EDATE($B$7,35))</f>
        <v/>
      </c>
      <c r="C52" s="15">
        <f>IF(A52="","",MIN($B$9,G51+E52))</f>
        <v/>
      </c>
      <c r="D52" s="15">
        <f>IF(A52="","",C52-E52)</f>
        <v/>
      </c>
      <c r="E52" s="15">
        <f>IF(A52="","",G51*$B$5/12)</f>
        <v/>
      </c>
      <c r="F52" s="15">
        <f>IF(A52="","",MIN($B$8,G51+E52-C52))</f>
        <v/>
      </c>
      <c r="G52" s="15">
        <f>IF(A52="","",MAX(0,G51-D52-F52))</f>
        <v/>
      </c>
    </row>
    <row r="53">
      <c r="A53" s="13">
        <f>IF(AND(ISNUMBER(G52),G52&gt;0.005),37,"")</f>
        <v/>
      </c>
      <c r="B53" s="14">
        <f>IF(A53="","",EDATE($B$7,36))</f>
        <v/>
      </c>
      <c r="C53" s="15">
        <f>IF(A53="","",MIN($B$9,G52+E53))</f>
        <v/>
      </c>
      <c r="D53" s="15">
        <f>IF(A53="","",C53-E53)</f>
        <v/>
      </c>
      <c r="E53" s="15">
        <f>IF(A53="","",G52*$B$5/12)</f>
        <v/>
      </c>
      <c r="F53" s="15">
        <f>IF(A53="","",MIN($B$8,G52+E53-C53))</f>
        <v/>
      </c>
      <c r="G53" s="15">
        <f>IF(A53="","",MAX(0,G52-D53-F53))</f>
        <v/>
      </c>
    </row>
    <row r="54">
      <c r="A54" s="13">
        <f>IF(AND(ISNUMBER(G53),G53&gt;0.005),38,"")</f>
        <v/>
      </c>
      <c r="B54" s="14">
        <f>IF(A54="","",EDATE($B$7,37))</f>
        <v/>
      </c>
      <c r="C54" s="15">
        <f>IF(A54="","",MIN($B$9,G53+E54))</f>
        <v/>
      </c>
      <c r="D54" s="15">
        <f>IF(A54="","",C54-E54)</f>
        <v/>
      </c>
      <c r="E54" s="15">
        <f>IF(A54="","",G53*$B$5/12)</f>
        <v/>
      </c>
      <c r="F54" s="15">
        <f>IF(A54="","",MIN($B$8,G53+E54-C54))</f>
        <v/>
      </c>
      <c r="G54" s="15">
        <f>IF(A54="","",MAX(0,G53-D54-F54))</f>
        <v/>
      </c>
    </row>
    <row r="55">
      <c r="A55" s="13">
        <f>IF(AND(ISNUMBER(G54),G54&gt;0.005),39,"")</f>
        <v/>
      </c>
      <c r="B55" s="14">
        <f>IF(A55="","",EDATE($B$7,38))</f>
        <v/>
      </c>
      <c r="C55" s="15">
        <f>IF(A55="","",MIN($B$9,G54+E55))</f>
        <v/>
      </c>
      <c r="D55" s="15">
        <f>IF(A55="","",C55-E55)</f>
        <v/>
      </c>
      <c r="E55" s="15">
        <f>IF(A55="","",G54*$B$5/12)</f>
        <v/>
      </c>
      <c r="F55" s="15">
        <f>IF(A55="","",MIN($B$8,G54+E55-C55))</f>
        <v/>
      </c>
      <c r="G55" s="15">
        <f>IF(A55="","",MAX(0,G54-D55-F55))</f>
        <v/>
      </c>
    </row>
    <row r="56">
      <c r="A56" s="13">
        <f>IF(AND(ISNUMBER(G55),G55&gt;0.005),40,"")</f>
        <v/>
      </c>
      <c r="B56" s="14">
        <f>IF(A56="","",EDATE($B$7,39))</f>
        <v/>
      </c>
      <c r="C56" s="15">
        <f>IF(A56="","",MIN($B$9,G55+E56))</f>
        <v/>
      </c>
      <c r="D56" s="15">
        <f>IF(A56="","",C56-E56)</f>
        <v/>
      </c>
      <c r="E56" s="15">
        <f>IF(A56="","",G55*$B$5/12)</f>
        <v/>
      </c>
      <c r="F56" s="15">
        <f>IF(A56="","",MIN($B$8,G55+E56-C56))</f>
        <v/>
      </c>
      <c r="G56" s="15">
        <f>IF(A56="","",MAX(0,G55-D56-F56))</f>
        <v/>
      </c>
    </row>
    <row r="57">
      <c r="A57" s="13">
        <f>IF(AND(ISNUMBER(G56),G56&gt;0.005),41,"")</f>
        <v/>
      </c>
      <c r="B57" s="14">
        <f>IF(A57="","",EDATE($B$7,40))</f>
        <v/>
      </c>
      <c r="C57" s="15">
        <f>IF(A57="","",MIN($B$9,G56+E57))</f>
        <v/>
      </c>
      <c r="D57" s="15">
        <f>IF(A57="","",C57-E57)</f>
        <v/>
      </c>
      <c r="E57" s="15">
        <f>IF(A57="","",G56*$B$5/12)</f>
        <v/>
      </c>
      <c r="F57" s="15">
        <f>IF(A57="","",MIN($B$8,G56+E57-C57))</f>
        <v/>
      </c>
      <c r="G57" s="15">
        <f>IF(A57="","",MAX(0,G56-D57-F57))</f>
        <v/>
      </c>
    </row>
    <row r="58">
      <c r="A58" s="13">
        <f>IF(AND(ISNUMBER(G57),G57&gt;0.005),42,"")</f>
        <v/>
      </c>
      <c r="B58" s="14">
        <f>IF(A58="","",EDATE($B$7,41))</f>
        <v/>
      </c>
      <c r="C58" s="15">
        <f>IF(A58="","",MIN($B$9,G57+E58))</f>
        <v/>
      </c>
      <c r="D58" s="15">
        <f>IF(A58="","",C58-E58)</f>
        <v/>
      </c>
      <c r="E58" s="15">
        <f>IF(A58="","",G57*$B$5/12)</f>
        <v/>
      </c>
      <c r="F58" s="15">
        <f>IF(A58="","",MIN($B$8,G57+E58-C58))</f>
        <v/>
      </c>
      <c r="G58" s="15">
        <f>IF(A58="","",MAX(0,G57-D58-F58))</f>
        <v/>
      </c>
    </row>
    <row r="59">
      <c r="A59" s="13">
        <f>IF(AND(ISNUMBER(G58),G58&gt;0.005),43,"")</f>
        <v/>
      </c>
      <c r="B59" s="14">
        <f>IF(A59="","",EDATE($B$7,42))</f>
        <v/>
      </c>
      <c r="C59" s="15">
        <f>IF(A59="","",MIN($B$9,G58+E59))</f>
        <v/>
      </c>
      <c r="D59" s="15">
        <f>IF(A59="","",C59-E59)</f>
        <v/>
      </c>
      <c r="E59" s="15">
        <f>IF(A59="","",G58*$B$5/12)</f>
        <v/>
      </c>
      <c r="F59" s="15">
        <f>IF(A59="","",MIN($B$8,G58+E59-C59))</f>
        <v/>
      </c>
      <c r="G59" s="15">
        <f>IF(A59="","",MAX(0,G58-D59-F59))</f>
        <v/>
      </c>
    </row>
    <row r="60">
      <c r="A60" s="13">
        <f>IF(AND(ISNUMBER(G59),G59&gt;0.005),44,"")</f>
        <v/>
      </c>
      <c r="B60" s="14">
        <f>IF(A60="","",EDATE($B$7,43))</f>
        <v/>
      </c>
      <c r="C60" s="15">
        <f>IF(A60="","",MIN($B$9,G59+E60))</f>
        <v/>
      </c>
      <c r="D60" s="15">
        <f>IF(A60="","",C60-E60)</f>
        <v/>
      </c>
      <c r="E60" s="15">
        <f>IF(A60="","",G59*$B$5/12)</f>
        <v/>
      </c>
      <c r="F60" s="15">
        <f>IF(A60="","",MIN($B$8,G59+E60-C60))</f>
        <v/>
      </c>
      <c r="G60" s="15">
        <f>IF(A60="","",MAX(0,G59-D60-F60))</f>
        <v/>
      </c>
    </row>
    <row r="61">
      <c r="A61" s="13">
        <f>IF(AND(ISNUMBER(G60),G60&gt;0.005),45,"")</f>
        <v/>
      </c>
      <c r="B61" s="14">
        <f>IF(A61="","",EDATE($B$7,44))</f>
        <v/>
      </c>
      <c r="C61" s="15">
        <f>IF(A61="","",MIN($B$9,G60+E61))</f>
        <v/>
      </c>
      <c r="D61" s="15">
        <f>IF(A61="","",C61-E61)</f>
        <v/>
      </c>
      <c r="E61" s="15">
        <f>IF(A61="","",G60*$B$5/12)</f>
        <v/>
      </c>
      <c r="F61" s="15">
        <f>IF(A61="","",MIN($B$8,G60+E61-C61))</f>
        <v/>
      </c>
      <c r="G61" s="15">
        <f>IF(A61="","",MAX(0,G60-D61-F61))</f>
        <v/>
      </c>
    </row>
    <row r="62">
      <c r="A62" s="13">
        <f>IF(AND(ISNUMBER(G61),G61&gt;0.005),46,"")</f>
        <v/>
      </c>
      <c r="B62" s="14">
        <f>IF(A62="","",EDATE($B$7,45))</f>
        <v/>
      </c>
      <c r="C62" s="15">
        <f>IF(A62="","",MIN($B$9,G61+E62))</f>
        <v/>
      </c>
      <c r="D62" s="15">
        <f>IF(A62="","",C62-E62)</f>
        <v/>
      </c>
      <c r="E62" s="15">
        <f>IF(A62="","",G61*$B$5/12)</f>
        <v/>
      </c>
      <c r="F62" s="15">
        <f>IF(A62="","",MIN($B$8,G61+E62-C62))</f>
        <v/>
      </c>
      <c r="G62" s="15">
        <f>IF(A62="","",MAX(0,G61-D62-F62))</f>
        <v/>
      </c>
    </row>
    <row r="63">
      <c r="A63" s="13">
        <f>IF(AND(ISNUMBER(G62),G62&gt;0.005),47,"")</f>
        <v/>
      </c>
      <c r="B63" s="14">
        <f>IF(A63="","",EDATE($B$7,46))</f>
        <v/>
      </c>
      <c r="C63" s="15">
        <f>IF(A63="","",MIN($B$9,G62+E63))</f>
        <v/>
      </c>
      <c r="D63" s="15">
        <f>IF(A63="","",C63-E63)</f>
        <v/>
      </c>
      <c r="E63" s="15">
        <f>IF(A63="","",G62*$B$5/12)</f>
        <v/>
      </c>
      <c r="F63" s="15">
        <f>IF(A63="","",MIN($B$8,G62+E63-C63))</f>
        <v/>
      </c>
      <c r="G63" s="15">
        <f>IF(A63="","",MAX(0,G62-D63-F63))</f>
        <v/>
      </c>
    </row>
    <row r="64">
      <c r="A64" s="13">
        <f>IF(AND(ISNUMBER(G63),G63&gt;0.005),48,"")</f>
        <v/>
      </c>
      <c r="B64" s="14">
        <f>IF(A64="","",EDATE($B$7,47))</f>
        <v/>
      </c>
      <c r="C64" s="15">
        <f>IF(A64="","",MIN($B$9,G63+E64))</f>
        <v/>
      </c>
      <c r="D64" s="15">
        <f>IF(A64="","",C64-E64)</f>
        <v/>
      </c>
      <c r="E64" s="15">
        <f>IF(A64="","",G63*$B$5/12)</f>
        <v/>
      </c>
      <c r="F64" s="15">
        <f>IF(A64="","",MIN($B$8,G63+E64-C64))</f>
        <v/>
      </c>
      <c r="G64" s="15">
        <f>IF(A64="","",MAX(0,G63-D64-F64))</f>
        <v/>
      </c>
    </row>
    <row r="65">
      <c r="A65" s="13">
        <f>IF(AND(ISNUMBER(G64),G64&gt;0.005),49,"")</f>
        <v/>
      </c>
      <c r="B65" s="14">
        <f>IF(A65="","",EDATE($B$7,48))</f>
        <v/>
      </c>
      <c r="C65" s="15">
        <f>IF(A65="","",MIN($B$9,G64+E65))</f>
        <v/>
      </c>
      <c r="D65" s="15">
        <f>IF(A65="","",C65-E65)</f>
        <v/>
      </c>
      <c r="E65" s="15">
        <f>IF(A65="","",G64*$B$5/12)</f>
        <v/>
      </c>
      <c r="F65" s="15">
        <f>IF(A65="","",MIN($B$8,G64+E65-C65))</f>
        <v/>
      </c>
      <c r="G65" s="15">
        <f>IF(A65="","",MAX(0,G64-D65-F65))</f>
        <v/>
      </c>
    </row>
    <row r="66">
      <c r="A66" s="13">
        <f>IF(AND(ISNUMBER(G65),G65&gt;0.005),50,"")</f>
        <v/>
      </c>
      <c r="B66" s="14">
        <f>IF(A66="","",EDATE($B$7,49))</f>
        <v/>
      </c>
      <c r="C66" s="15">
        <f>IF(A66="","",MIN($B$9,G65+E66))</f>
        <v/>
      </c>
      <c r="D66" s="15">
        <f>IF(A66="","",C66-E66)</f>
        <v/>
      </c>
      <c r="E66" s="15">
        <f>IF(A66="","",G65*$B$5/12)</f>
        <v/>
      </c>
      <c r="F66" s="15">
        <f>IF(A66="","",MIN($B$8,G65+E66-C66))</f>
        <v/>
      </c>
      <c r="G66" s="15">
        <f>IF(A66="","",MAX(0,G65-D66-F66))</f>
        <v/>
      </c>
    </row>
    <row r="67">
      <c r="A67" s="13">
        <f>IF(AND(ISNUMBER(G66),G66&gt;0.005),51,"")</f>
        <v/>
      </c>
      <c r="B67" s="14">
        <f>IF(A67="","",EDATE($B$7,50))</f>
        <v/>
      </c>
      <c r="C67" s="15">
        <f>IF(A67="","",MIN($B$9,G66+E67))</f>
        <v/>
      </c>
      <c r="D67" s="15">
        <f>IF(A67="","",C67-E67)</f>
        <v/>
      </c>
      <c r="E67" s="15">
        <f>IF(A67="","",G66*$B$5/12)</f>
        <v/>
      </c>
      <c r="F67" s="15">
        <f>IF(A67="","",MIN($B$8,G66+E67-C67))</f>
        <v/>
      </c>
      <c r="G67" s="15">
        <f>IF(A67="","",MAX(0,G66-D67-F67))</f>
        <v/>
      </c>
    </row>
    <row r="68">
      <c r="A68" s="13">
        <f>IF(AND(ISNUMBER(G67),G67&gt;0.005),52,"")</f>
        <v/>
      </c>
      <c r="B68" s="14">
        <f>IF(A68="","",EDATE($B$7,51))</f>
        <v/>
      </c>
      <c r="C68" s="15">
        <f>IF(A68="","",MIN($B$9,G67+E68))</f>
        <v/>
      </c>
      <c r="D68" s="15">
        <f>IF(A68="","",C68-E68)</f>
        <v/>
      </c>
      <c r="E68" s="15">
        <f>IF(A68="","",G67*$B$5/12)</f>
        <v/>
      </c>
      <c r="F68" s="15">
        <f>IF(A68="","",MIN($B$8,G67+E68-C68))</f>
        <v/>
      </c>
      <c r="G68" s="15">
        <f>IF(A68="","",MAX(0,G67-D68-F68))</f>
        <v/>
      </c>
    </row>
    <row r="69">
      <c r="A69" s="13">
        <f>IF(AND(ISNUMBER(G68),G68&gt;0.005),53,"")</f>
        <v/>
      </c>
      <c r="B69" s="14">
        <f>IF(A69="","",EDATE($B$7,52))</f>
        <v/>
      </c>
      <c r="C69" s="15">
        <f>IF(A69="","",MIN($B$9,G68+E69))</f>
        <v/>
      </c>
      <c r="D69" s="15">
        <f>IF(A69="","",C69-E69)</f>
        <v/>
      </c>
      <c r="E69" s="15">
        <f>IF(A69="","",G68*$B$5/12)</f>
        <v/>
      </c>
      <c r="F69" s="15">
        <f>IF(A69="","",MIN($B$8,G68+E69-C69))</f>
        <v/>
      </c>
      <c r="G69" s="15">
        <f>IF(A69="","",MAX(0,G68-D69-F69))</f>
        <v/>
      </c>
    </row>
    <row r="70">
      <c r="A70" s="13">
        <f>IF(AND(ISNUMBER(G69),G69&gt;0.005),54,"")</f>
        <v/>
      </c>
      <c r="B70" s="14">
        <f>IF(A70="","",EDATE($B$7,53))</f>
        <v/>
      </c>
      <c r="C70" s="15">
        <f>IF(A70="","",MIN($B$9,G69+E70))</f>
        <v/>
      </c>
      <c r="D70" s="15">
        <f>IF(A70="","",C70-E70)</f>
        <v/>
      </c>
      <c r="E70" s="15">
        <f>IF(A70="","",G69*$B$5/12)</f>
        <v/>
      </c>
      <c r="F70" s="15">
        <f>IF(A70="","",MIN($B$8,G69+E70-C70))</f>
        <v/>
      </c>
      <c r="G70" s="15">
        <f>IF(A70="","",MAX(0,G69-D70-F70))</f>
        <v/>
      </c>
    </row>
    <row r="71">
      <c r="A71" s="13">
        <f>IF(AND(ISNUMBER(G70),G70&gt;0.005),55,"")</f>
        <v/>
      </c>
      <c r="B71" s="14">
        <f>IF(A71="","",EDATE($B$7,54))</f>
        <v/>
      </c>
      <c r="C71" s="15">
        <f>IF(A71="","",MIN($B$9,G70+E71))</f>
        <v/>
      </c>
      <c r="D71" s="15">
        <f>IF(A71="","",C71-E71)</f>
        <v/>
      </c>
      <c r="E71" s="15">
        <f>IF(A71="","",G70*$B$5/12)</f>
        <v/>
      </c>
      <c r="F71" s="15">
        <f>IF(A71="","",MIN($B$8,G70+E71-C71))</f>
        <v/>
      </c>
      <c r="G71" s="15">
        <f>IF(A71="","",MAX(0,G70-D71-F71))</f>
        <v/>
      </c>
    </row>
    <row r="72">
      <c r="A72" s="13">
        <f>IF(AND(ISNUMBER(G71),G71&gt;0.005),56,"")</f>
        <v/>
      </c>
      <c r="B72" s="14">
        <f>IF(A72="","",EDATE($B$7,55))</f>
        <v/>
      </c>
      <c r="C72" s="15">
        <f>IF(A72="","",MIN($B$9,G71+E72))</f>
        <v/>
      </c>
      <c r="D72" s="15">
        <f>IF(A72="","",C72-E72)</f>
        <v/>
      </c>
      <c r="E72" s="15">
        <f>IF(A72="","",G71*$B$5/12)</f>
        <v/>
      </c>
      <c r="F72" s="15">
        <f>IF(A72="","",MIN($B$8,G71+E72-C72))</f>
        <v/>
      </c>
      <c r="G72" s="15">
        <f>IF(A72="","",MAX(0,G71-D72-F72))</f>
        <v/>
      </c>
    </row>
    <row r="73">
      <c r="A73" s="13">
        <f>IF(AND(ISNUMBER(G72),G72&gt;0.005),57,"")</f>
        <v/>
      </c>
      <c r="B73" s="14">
        <f>IF(A73="","",EDATE($B$7,56))</f>
        <v/>
      </c>
      <c r="C73" s="15">
        <f>IF(A73="","",MIN($B$9,G72+E73))</f>
        <v/>
      </c>
      <c r="D73" s="15">
        <f>IF(A73="","",C73-E73)</f>
        <v/>
      </c>
      <c r="E73" s="15">
        <f>IF(A73="","",G72*$B$5/12)</f>
        <v/>
      </c>
      <c r="F73" s="15">
        <f>IF(A73="","",MIN($B$8,G72+E73-C73))</f>
        <v/>
      </c>
      <c r="G73" s="15">
        <f>IF(A73="","",MAX(0,G72-D73-F73))</f>
        <v/>
      </c>
    </row>
    <row r="74">
      <c r="A74" s="13">
        <f>IF(AND(ISNUMBER(G73),G73&gt;0.005),58,"")</f>
        <v/>
      </c>
      <c r="B74" s="14">
        <f>IF(A74="","",EDATE($B$7,57))</f>
        <v/>
      </c>
      <c r="C74" s="15">
        <f>IF(A74="","",MIN($B$9,G73+E74))</f>
        <v/>
      </c>
      <c r="D74" s="15">
        <f>IF(A74="","",C74-E74)</f>
        <v/>
      </c>
      <c r="E74" s="15">
        <f>IF(A74="","",G73*$B$5/12)</f>
        <v/>
      </c>
      <c r="F74" s="15">
        <f>IF(A74="","",MIN($B$8,G73+E74-C74))</f>
        <v/>
      </c>
      <c r="G74" s="15">
        <f>IF(A74="","",MAX(0,G73-D74-F74))</f>
        <v/>
      </c>
    </row>
    <row r="75">
      <c r="A75" s="13">
        <f>IF(AND(ISNUMBER(G74),G74&gt;0.005),59,"")</f>
        <v/>
      </c>
      <c r="B75" s="14">
        <f>IF(A75="","",EDATE($B$7,58))</f>
        <v/>
      </c>
      <c r="C75" s="15">
        <f>IF(A75="","",MIN($B$9,G74+E75))</f>
        <v/>
      </c>
      <c r="D75" s="15">
        <f>IF(A75="","",C75-E75)</f>
        <v/>
      </c>
      <c r="E75" s="15">
        <f>IF(A75="","",G74*$B$5/12)</f>
        <v/>
      </c>
      <c r="F75" s="15">
        <f>IF(A75="","",MIN($B$8,G74+E75-C75))</f>
        <v/>
      </c>
      <c r="G75" s="15">
        <f>IF(A75="","",MAX(0,G74-D75-F75))</f>
        <v/>
      </c>
    </row>
    <row r="76">
      <c r="A76" s="13">
        <f>IF(AND(ISNUMBER(G75),G75&gt;0.005),60,"")</f>
        <v/>
      </c>
      <c r="B76" s="14">
        <f>IF(A76="","",EDATE($B$7,59))</f>
        <v/>
      </c>
      <c r="C76" s="15">
        <f>IF(A76="","",MIN($B$9,G75+E76))</f>
        <v/>
      </c>
      <c r="D76" s="15">
        <f>IF(A76="","",C76-E76)</f>
        <v/>
      </c>
      <c r="E76" s="15">
        <f>IF(A76="","",G75*$B$5/12)</f>
        <v/>
      </c>
      <c r="F76" s="15">
        <f>IF(A76="","",MIN($B$8,G75+E76-C76))</f>
        <v/>
      </c>
      <c r="G76" s="15">
        <f>IF(A76="","",MAX(0,G75-D76-F76))</f>
        <v/>
      </c>
    </row>
    <row r="77">
      <c r="A77" s="13">
        <f>IF(AND(ISNUMBER(G76),G76&gt;0.005),61,"")</f>
        <v/>
      </c>
      <c r="B77" s="14">
        <f>IF(A77="","",EDATE($B$7,60))</f>
        <v/>
      </c>
      <c r="C77" s="15">
        <f>IF(A77="","",MIN($B$9,G76+E77))</f>
        <v/>
      </c>
      <c r="D77" s="15">
        <f>IF(A77="","",C77-E77)</f>
        <v/>
      </c>
      <c r="E77" s="15">
        <f>IF(A77="","",G76*$B$5/12)</f>
        <v/>
      </c>
      <c r="F77" s="15">
        <f>IF(A77="","",MIN($B$8,G76+E77-C77))</f>
        <v/>
      </c>
      <c r="G77" s="15">
        <f>IF(A77="","",MAX(0,G76-D77-F77))</f>
        <v/>
      </c>
    </row>
    <row r="78">
      <c r="A78" s="13">
        <f>IF(AND(ISNUMBER(G77),G77&gt;0.005),62,"")</f>
        <v/>
      </c>
      <c r="B78" s="14">
        <f>IF(A78="","",EDATE($B$7,61))</f>
        <v/>
      </c>
      <c r="C78" s="15">
        <f>IF(A78="","",MIN($B$9,G77+E78))</f>
        <v/>
      </c>
      <c r="D78" s="15">
        <f>IF(A78="","",C78-E78)</f>
        <v/>
      </c>
      <c r="E78" s="15">
        <f>IF(A78="","",G77*$B$5/12)</f>
        <v/>
      </c>
      <c r="F78" s="15">
        <f>IF(A78="","",MIN($B$8,G77+E78-C78))</f>
        <v/>
      </c>
      <c r="G78" s="15">
        <f>IF(A78="","",MAX(0,G77-D78-F78))</f>
        <v/>
      </c>
    </row>
    <row r="79">
      <c r="A79" s="13">
        <f>IF(AND(ISNUMBER(G78),G78&gt;0.005),63,"")</f>
        <v/>
      </c>
      <c r="B79" s="14">
        <f>IF(A79="","",EDATE($B$7,62))</f>
        <v/>
      </c>
      <c r="C79" s="15">
        <f>IF(A79="","",MIN($B$9,G78+E79))</f>
        <v/>
      </c>
      <c r="D79" s="15">
        <f>IF(A79="","",C79-E79)</f>
        <v/>
      </c>
      <c r="E79" s="15">
        <f>IF(A79="","",G78*$B$5/12)</f>
        <v/>
      </c>
      <c r="F79" s="15">
        <f>IF(A79="","",MIN($B$8,G78+E79-C79))</f>
        <v/>
      </c>
      <c r="G79" s="15">
        <f>IF(A79="","",MAX(0,G78-D79-F79))</f>
        <v/>
      </c>
    </row>
    <row r="80">
      <c r="A80" s="13">
        <f>IF(AND(ISNUMBER(G79),G79&gt;0.005),64,"")</f>
        <v/>
      </c>
      <c r="B80" s="14">
        <f>IF(A80="","",EDATE($B$7,63))</f>
        <v/>
      </c>
      <c r="C80" s="15">
        <f>IF(A80="","",MIN($B$9,G79+E80))</f>
        <v/>
      </c>
      <c r="D80" s="15">
        <f>IF(A80="","",C80-E80)</f>
        <v/>
      </c>
      <c r="E80" s="15">
        <f>IF(A80="","",G79*$B$5/12)</f>
        <v/>
      </c>
      <c r="F80" s="15">
        <f>IF(A80="","",MIN($B$8,G79+E80-C80))</f>
        <v/>
      </c>
      <c r="G80" s="15">
        <f>IF(A80="","",MAX(0,G79-D80-F80))</f>
        <v/>
      </c>
    </row>
    <row r="81">
      <c r="A81" s="13">
        <f>IF(AND(ISNUMBER(G80),G80&gt;0.005),65,"")</f>
        <v/>
      </c>
      <c r="B81" s="14">
        <f>IF(A81="","",EDATE($B$7,64))</f>
        <v/>
      </c>
      <c r="C81" s="15">
        <f>IF(A81="","",MIN($B$9,G80+E81))</f>
        <v/>
      </c>
      <c r="D81" s="15">
        <f>IF(A81="","",C81-E81)</f>
        <v/>
      </c>
      <c r="E81" s="15">
        <f>IF(A81="","",G80*$B$5/12)</f>
        <v/>
      </c>
      <c r="F81" s="15">
        <f>IF(A81="","",MIN($B$8,G80+E81-C81))</f>
        <v/>
      </c>
      <c r="G81" s="15">
        <f>IF(A81="","",MAX(0,G80-D81-F81))</f>
        <v/>
      </c>
    </row>
    <row r="82">
      <c r="A82" s="13">
        <f>IF(AND(ISNUMBER(G81),G81&gt;0.005),66,"")</f>
        <v/>
      </c>
      <c r="B82" s="14">
        <f>IF(A82="","",EDATE($B$7,65))</f>
        <v/>
      </c>
      <c r="C82" s="15">
        <f>IF(A82="","",MIN($B$9,G81+E82))</f>
        <v/>
      </c>
      <c r="D82" s="15">
        <f>IF(A82="","",C82-E82)</f>
        <v/>
      </c>
      <c r="E82" s="15">
        <f>IF(A82="","",G81*$B$5/12)</f>
        <v/>
      </c>
      <c r="F82" s="15">
        <f>IF(A82="","",MIN($B$8,G81+E82-C82))</f>
        <v/>
      </c>
      <c r="G82" s="15">
        <f>IF(A82="","",MAX(0,G81-D82-F82))</f>
        <v/>
      </c>
    </row>
    <row r="83">
      <c r="A83" s="13">
        <f>IF(AND(ISNUMBER(G82),G82&gt;0.005),67,"")</f>
        <v/>
      </c>
      <c r="B83" s="14">
        <f>IF(A83="","",EDATE($B$7,66))</f>
        <v/>
      </c>
      <c r="C83" s="15">
        <f>IF(A83="","",MIN($B$9,G82+E83))</f>
        <v/>
      </c>
      <c r="D83" s="15">
        <f>IF(A83="","",C83-E83)</f>
        <v/>
      </c>
      <c r="E83" s="15">
        <f>IF(A83="","",G82*$B$5/12)</f>
        <v/>
      </c>
      <c r="F83" s="15">
        <f>IF(A83="","",MIN($B$8,G82+E83-C83))</f>
        <v/>
      </c>
      <c r="G83" s="15">
        <f>IF(A83="","",MAX(0,G82-D83-F83))</f>
        <v/>
      </c>
    </row>
    <row r="84">
      <c r="A84" s="13">
        <f>IF(AND(ISNUMBER(G83),G83&gt;0.005),68,"")</f>
        <v/>
      </c>
      <c r="B84" s="14">
        <f>IF(A84="","",EDATE($B$7,67))</f>
        <v/>
      </c>
      <c r="C84" s="15">
        <f>IF(A84="","",MIN($B$9,G83+E84))</f>
        <v/>
      </c>
      <c r="D84" s="15">
        <f>IF(A84="","",C84-E84)</f>
        <v/>
      </c>
      <c r="E84" s="15">
        <f>IF(A84="","",G83*$B$5/12)</f>
        <v/>
      </c>
      <c r="F84" s="15">
        <f>IF(A84="","",MIN($B$8,G83+E84-C84))</f>
        <v/>
      </c>
      <c r="G84" s="15">
        <f>IF(A84="","",MAX(0,G83-D84-F84))</f>
        <v/>
      </c>
    </row>
    <row r="85">
      <c r="A85" s="13">
        <f>IF(AND(ISNUMBER(G84),G84&gt;0.005),69,"")</f>
        <v/>
      </c>
      <c r="B85" s="14">
        <f>IF(A85="","",EDATE($B$7,68))</f>
        <v/>
      </c>
      <c r="C85" s="15">
        <f>IF(A85="","",MIN($B$9,G84+E85))</f>
        <v/>
      </c>
      <c r="D85" s="15">
        <f>IF(A85="","",C85-E85)</f>
        <v/>
      </c>
      <c r="E85" s="15">
        <f>IF(A85="","",G84*$B$5/12)</f>
        <v/>
      </c>
      <c r="F85" s="15">
        <f>IF(A85="","",MIN($B$8,G84+E85-C85))</f>
        <v/>
      </c>
      <c r="G85" s="15">
        <f>IF(A85="","",MAX(0,G84-D85-F85))</f>
        <v/>
      </c>
    </row>
    <row r="86">
      <c r="A86" s="13">
        <f>IF(AND(ISNUMBER(G85),G85&gt;0.005),70,"")</f>
        <v/>
      </c>
      <c r="B86" s="14">
        <f>IF(A86="","",EDATE($B$7,69))</f>
        <v/>
      </c>
      <c r="C86" s="15">
        <f>IF(A86="","",MIN($B$9,G85+E86))</f>
        <v/>
      </c>
      <c r="D86" s="15">
        <f>IF(A86="","",C86-E86)</f>
        <v/>
      </c>
      <c r="E86" s="15">
        <f>IF(A86="","",G85*$B$5/12)</f>
        <v/>
      </c>
      <c r="F86" s="15">
        <f>IF(A86="","",MIN($B$8,G85+E86-C86))</f>
        <v/>
      </c>
      <c r="G86" s="15">
        <f>IF(A86="","",MAX(0,G85-D86-F86))</f>
        <v/>
      </c>
    </row>
    <row r="87">
      <c r="A87" s="13">
        <f>IF(AND(ISNUMBER(G86),G86&gt;0.005),71,"")</f>
        <v/>
      </c>
      <c r="B87" s="14">
        <f>IF(A87="","",EDATE($B$7,70))</f>
        <v/>
      </c>
      <c r="C87" s="15">
        <f>IF(A87="","",MIN($B$9,G86+E87))</f>
        <v/>
      </c>
      <c r="D87" s="15">
        <f>IF(A87="","",C87-E87)</f>
        <v/>
      </c>
      <c r="E87" s="15">
        <f>IF(A87="","",G86*$B$5/12)</f>
        <v/>
      </c>
      <c r="F87" s="15">
        <f>IF(A87="","",MIN($B$8,G86+E87-C87))</f>
        <v/>
      </c>
      <c r="G87" s="15">
        <f>IF(A87="","",MAX(0,G86-D87-F87))</f>
        <v/>
      </c>
    </row>
    <row r="88">
      <c r="A88" s="13">
        <f>IF(AND(ISNUMBER(G87),G87&gt;0.005),72,"")</f>
        <v/>
      </c>
      <c r="B88" s="14">
        <f>IF(A88="","",EDATE($B$7,71))</f>
        <v/>
      </c>
      <c r="C88" s="15">
        <f>IF(A88="","",MIN($B$9,G87+E88))</f>
        <v/>
      </c>
      <c r="D88" s="15">
        <f>IF(A88="","",C88-E88)</f>
        <v/>
      </c>
      <c r="E88" s="15">
        <f>IF(A88="","",G87*$B$5/12)</f>
        <v/>
      </c>
      <c r="F88" s="15">
        <f>IF(A88="","",MIN($B$8,G87+E88-C88))</f>
        <v/>
      </c>
      <c r="G88" s="15">
        <f>IF(A88="","",MAX(0,G87-D88-F88))</f>
        <v/>
      </c>
    </row>
    <row r="89">
      <c r="A89" s="13">
        <f>IF(AND(ISNUMBER(G88),G88&gt;0.005),73,"")</f>
        <v/>
      </c>
      <c r="B89" s="14">
        <f>IF(A89="","",EDATE($B$7,72))</f>
        <v/>
      </c>
      <c r="C89" s="15">
        <f>IF(A89="","",MIN($B$9,G88+E89))</f>
        <v/>
      </c>
      <c r="D89" s="15">
        <f>IF(A89="","",C89-E89)</f>
        <v/>
      </c>
      <c r="E89" s="15">
        <f>IF(A89="","",G88*$B$5/12)</f>
        <v/>
      </c>
      <c r="F89" s="15">
        <f>IF(A89="","",MIN($B$8,G88+E89-C89))</f>
        <v/>
      </c>
      <c r="G89" s="15">
        <f>IF(A89="","",MAX(0,G88-D89-F89))</f>
        <v/>
      </c>
    </row>
    <row r="90">
      <c r="A90" s="13">
        <f>IF(AND(ISNUMBER(G89),G89&gt;0.005),74,"")</f>
        <v/>
      </c>
      <c r="B90" s="14">
        <f>IF(A90="","",EDATE($B$7,73))</f>
        <v/>
      </c>
      <c r="C90" s="15">
        <f>IF(A90="","",MIN($B$9,G89+E90))</f>
        <v/>
      </c>
      <c r="D90" s="15">
        <f>IF(A90="","",C90-E90)</f>
        <v/>
      </c>
      <c r="E90" s="15">
        <f>IF(A90="","",G89*$B$5/12)</f>
        <v/>
      </c>
      <c r="F90" s="15">
        <f>IF(A90="","",MIN($B$8,G89+E90-C90))</f>
        <v/>
      </c>
      <c r="G90" s="15">
        <f>IF(A90="","",MAX(0,G89-D90-F90))</f>
        <v/>
      </c>
    </row>
    <row r="91">
      <c r="A91" s="13">
        <f>IF(AND(ISNUMBER(G90),G90&gt;0.005),75,"")</f>
        <v/>
      </c>
      <c r="B91" s="14">
        <f>IF(A91="","",EDATE($B$7,74))</f>
        <v/>
      </c>
      <c r="C91" s="15">
        <f>IF(A91="","",MIN($B$9,G90+E91))</f>
        <v/>
      </c>
      <c r="D91" s="15">
        <f>IF(A91="","",C91-E91)</f>
        <v/>
      </c>
      <c r="E91" s="15">
        <f>IF(A91="","",G90*$B$5/12)</f>
        <v/>
      </c>
      <c r="F91" s="15">
        <f>IF(A91="","",MIN($B$8,G90+E91-C91))</f>
        <v/>
      </c>
      <c r="G91" s="15">
        <f>IF(A91="","",MAX(0,G90-D91-F91))</f>
        <v/>
      </c>
    </row>
    <row r="92">
      <c r="A92" s="13">
        <f>IF(AND(ISNUMBER(G91),G91&gt;0.005),76,"")</f>
        <v/>
      </c>
      <c r="B92" s="14">
        <f>IF(A92="","",EDATE($B$7,75))</f>
        <v/>
      </c>
      <c r="C92" s="15">
        <f>IF(A92="","",MIN($B$9,G91+E92))</f>
        <v/>
      </c>
      <c r="D92" s="15">
        <f>IF(A92="","",C92-E92)</f>
        <v/>
      </c>
      <c r="E92" s="15">
        <f>IF(A92="","",G91*$B$5/12)</f>
        <v/>
      </c>
      <c r="F92" s="15">
        <f>IF(A92="","",MIN($B$8,G91+E92-C92))</f>
        <v/>
      </c>
      <c r="G92" s="15">
        <f>IF(A92="","",MAX(0,G91-D92-F92))</f>
        <v/>
      </c>
    </row>
    <row r="93">
      <c r="A93" s="13">
        <f>IF(AND(ISNUMBER(G92),G92&gt;0.005),77,"")</f>
        <v/>
      </c>
      <c r="B93" s="14">
        <f>IF(A93="","",EDATE($B$7,76))</f>
        <v/>
      </c>
      <c r="C93" s="15">
        <f>IF(A93="","",MIN($B$9,G92+E93))</f>
        <v/>
      </c>
      <c r="D93" s="15">
        <f>IF(A93="","",C93-E93)</f>
        <v/>
      </c>
      <c r="E93" s="15">
        <f>IF(A93="","",G92*$B$5/12)</f>
        <v/>
      </c>
      <c r="F93" s="15">
        <f>IF(A93="","",MIN($B$8,G92+E93-C93))</f>
        <v/>
      </c>
      <c r="G93" s="15">
        <f>IF(A93="","",MAX(0,G92-D93-F93))</f>
        <v/>
      </c>
    </row>
    <row r="94">
      <c r="A94" s="13">
        <f>IF(AND(ISNUMBER(G93),G93&gt;0.005),78,"")</f>
        <v/>
      </c>
      <c r="B94" s="14">
        <f>IF(A94="","",EDATE($B$7,77))</f>
        <v/>
      </c>
      <c r="C94" s="15">
        <f>IF(A94="","",MIN($B$9,G93+E94))</f>
        <v/>
      </c>
      <c r="D94" s="15">
        <f>IF(A94="","",C94-E94)</f>
        <v/>
      </c>
      <c r="E94" s="15">
        <f>IF(A94="","",G93*$B$5/12)</f>
        <v/>
      </c>
      <c r="F94" s="15">
        <f>IF(A94="","",MIN($B$8,G93+E94-C94))</f>
        <v/>
      </c>
      <c r="G94" s="15">
        <f>IF(A94="","",MAX(0,G93-D94-F94))</f>
        <v/>
      </c>
    </row>
    <row r="95">
      <c r="A95" s="13">
        <f>IF(AND(ISNUMBER(G94),G94&gt;0.005),79,"")</f>
        <v/>
      </c>
      <c r="B95" s="14">
        <f>IF(A95="","",EDATE($B$7,78))</f>
        <v/>
      </c>
      <c r="C95" s="15">
        <f>IF(A95="","",MIN($B$9,G94+E95))</f>
        <v/>
      </c>
      <c r="D95" s="15">
        <f>IF(A95="","",C95-E95)</f>
        <v/>
      </c>
      <c r="E95" s="15">
        <f>IF(A95="","",G94*$B$5/12)</f>
        <v/>
      </c>
      <c r="F95" s="15">
        <f>IF(A95="","",MIN($B$8,G94+E95-C95))</f>
        <v/>
      </c>
      <c r="G95" s="15">
        <f>IF(A95="","",MAX(0,G94-D95-F95))</f>
        <v/>
      </c>
    </row>
    <row r="96">
      <c r="A96" s="13">
        <f>IF(AND(ISNUMBER(G95),G95&gt;0.005),80,"")</f>
        <v/>
      </c>
      <c r="B96" s="14">
        <f>IF(A96="","",EDATE($B$7,79))</f>
        <v/>
      </c>
      <c r="C96" s="15">
        <f>IF(A96="","",MIN($B$9,G95+E96))</f>
        <v/>
      </c>
      <c r="D96" s="15">
        <f>IF(A96="","",C96-E96)</f>
        <v/>
      </c>
      <c r="E96" s="15">
        <f>IF(A96="","",G95*$B$5/12)</f>
        <v/>
      </c>
      <c r="F96" s="15">
        <f>IF(A96="","",MIN($B$8,G95+E96-C96))</f>
        <v/>
      </c>
      <c r="G96" s="15">
        <f>IF(A96="","",MAX(0,G95-D96-F96))</f>
        <v/>
      </c>
    </row>
    <row r="97">
      <c r="A97" s="13">
        <f>IF(AND(ISNUMBER(G96),G96&gt;0.005),81,"")</f>
        <v/>
      </c>
      <c r="B97" s="14">
        <f>IF(A97="","",EDATE($B$7,80))</f>
        <v/>
      </c>
      <c r="C97" s="15">
        <f>IF(A97="","",MIN($B$9,G96+E97))</f>
        <v/>
      </c>
      <c r="D97" s="15">
        <f>IF(A97="","",C97-E97)</f>
        <v/>
      </c>
      <c r="E97" s="15">
        <f>IF(A97="","",G96*$B$5/12)</f>
        <v/>
      </c>
      <c r="F97" s="15">
        <f>IF(A97="","",MIN($B$8,G96+E97-C97))</f>
        <v/>
      </c>
      <c r="G97" s="15">
        <f>IF(A97="","",MAX(0,G96-D97-F97))</f>
        <v/>
      </c>
    </row>
    <row r="98">
      <c r="A98" s="13">
        <f>IF(AND(ISNUMBER(G97),G97&gt;0.005),82,"")</f>
        <v/>
      </c>
      <c r="B98" s="14">
        <f>IF(A98="","",EDATE($B$7,81))</f>
        <v/>
      </c>
      <c r="C98" s="15">
        <f>IF(A98="","",MIN($B$9,G97+E98))</f>
        <v/>
      </c>
      <c r="D98" s="15">
        <f>IF(A98="","",C98-E98)</f>
        <v/>
      </c>
      <c r="E98" s="15">
        <f>IF(A98="","",G97*$B$5/12)</f>
        <v/>
      </c>
      <c r="F98" s="15">
        <f>IF(A98="","",MIN($B$8,G97+E98-C98))</f>
        <v/>
      </c>
      <c r="G98" s="15">
        <f>IF(A98="","",MAX(0,G97-D98-F98))</f>
        <v/>
      </c>
    </row>
    <row r="99">
      <c r="A99" s="13">
        <f>IF(AND(ISNUMBER(G98),G98&gt;0.005),83,"")</f>
        <v/>
      </c>
      <c r="B99" s="14">
        <f>IF(A99="","",EDATE($B$7,82))</f>
        <v/>
      </c>
      <c r="C99" s="15">
        <f>IF(A99="","",MIN($B$9,G98+E99))</f>
        <v/>
      </c>
      <c r="D99" s="15">
        <f>IF(A99="","",C99-E99)</f>
        <v/>
      </c>
      <c r="E99" s="15">
        <f>IF(A99="","",G98*$B$5/12)</f>
        <v/>
      </c>
      <c r="F99" s="15">
        <f>IF(A99="","",MIN($B$8,G98+E99-C99))</f>
        <v/>
      </c>
      <c r="G99" s="15">
        <f>IF(A99="","",MAX(0,G98-D99-F99))</f>
        <v/>
      </c>
    </row>
    <row r="100">
      <c r="A100" s="13">
        <f>IF(AND(ISNUMBER(G99),G99&gt;0.005),84,"")</f>
        <v/>
      </c>
      <c r="B100" s="14">
        <f>IF(A100="","",EDATE($B$7,83))</f>
        <v/>
      </c>
      <c r="C100" s="15">
        <f>IF(A100="","",MIN($B$9,G99+E100))</f>
        <v/>
      </c>
      <c r="D100" s="15">
        <f>IF(A100="","",C100-E100)</f>
        <v/>
      </c>
      <c r="E100" s="15">
        <f>IF(A100="","",G99*$B$5/12)</f>
        <v/>
      </c>
      <c r="F100" s="15">
        <f>IF(A100="","",MIN($B$8,G99+E100-C100))</f>
        <v/>
      </c>
      <c r="G100" s="15">
        <f>IF(A100="","",MAX(0,G99-D100-F100))</f>
        <v/>
      </c>
    </row>
    <row r="101">
      <c r="A101" s="13">
        <f>IF(AND(ISNUMBER(G100),G100&gt;0.005),85,"")</f>
        <v/>
      </c>
      <c r="B101" s="14">
        <f>IF(A101="","",EDATE($B$7,84))</f>
        <v/>
      </c>
      <c r="C101" s="15">
        <f>IF(A101="","",MIN($B$9,G100+E101))</f>
        <v/>
      </c>
      <c r="D101" s="15">
        <f>IF(A101="","",C101-E101)</f>
        <v/>
      </c>
      <c r="E101" s="15">
        <f>IF(A101="","",G100*$B$5/12)</f>
        <v/>
      </c>
      <c r="F101" s="15">
        <f>IF(A101="","",MIN($B$8,G100+E101-C101))</f>
        <v/>
      </c>
      <c r="G101" s="15">
        <f>IF(A101="","",MAX(0,G100-D101-F101))</f>
        <v/>
      </c>
    </row>
    <row r="102">
      <c r="A102" s="13">
        <f>IF(AND(ISNUMBER(G101),G101&gt;0.005),86,"")</f>
        <v/>
      </c>
      <c r="B102" s="14">
        <f>IF(A102="","",EDATE($B$7,85))</f>
        <v/>
      </c>
      <c r="C102" s="15">
        <f>IF(A102="","",MIN($B$9,G101+E102))</f>
        <v/>
      </c>
      <c r="D102" s="15">
        <f>IF(A102="","",C102-E102)</f>
        <v/>
      </c>
      <c r="E102" s="15">
        <f>IF(A102="","",G101*$B$5/12)</f>
        <v/>
      </c>
      <c r="F102" s="15">
        <f>IF(A102="","",MIN($B$8,G101+E102-C102))</f>
        <v/>
      </c>
      <c r="G102" s="15">
        <f>IF(A102="","",MAX(0,G101-D102-F102))</f>
        <v/>
      </c>
    </row>
    <row r="103">
      <c r="A103" s="13">
        <f>IF(AND(ISNUMBER(G102),G102&gt;0.005),87,"")</f>
        <v/>
      </c>
      <c r="B103" s="14">
        <f>IF(A103="","",EDATE($B$7,86))</f>
        <v/>
      </c>
      <c r="C103" s="15">
        <f>IF(A103="","",MIN($B$9,G102+E103))</f>
        <v/>
      </c>
      <c r="D103" s="15">
        <f>IF(A103="","",C103-E103)</f>
        <v/>
      </c>
      <c r="E103" s="15">
        <f>IF(A103="","",G102*$B$5/12)</f>
        <v/>
      </c>
      <c r="F103" s="15">
        <f>IF(A103="","",MIN($B$8,G102+E103-C103))</f>
        <v/>
      </c>
      <c r="G103" s="15">
        <f>IF(A103="","",MAX(0,G102-D103-F103))</f>
        <v/>
      </c>
    </row>
    <row r="104">
      <c r="A104" s="13">
        <f>IF(AND(ISNUMBER(G103),G103&gt;0.005),88,"")</f>
        <v/>
      </c>
      <c r="B104" s="14">
        <f>IF(A104="","",EDATE($B$7,87))</f>
        <v/>
      </c>
      <c r="C104" s="15">
        <f>IF(A104="","",MIN($B$9,G103+E104))</f>
        <v/>
      </c>
      <c r="D104" s="15">
        <f>IF(A104="","",C104-E104)</f>
        <v/>
      </c>
      <c r="E104" s="15">
        <f>IF(A104="","",G103*$B$5/12)</f>
        <v/>
      </c>
      <c r="F104" s="15">
        <f>IF(A104="","",MIN($B$8,G103+E104-C104))</f>
        <v/>
      </c>
      <c r="G104" s="15">
        <f>IF(A104="","",MAX(0,G103-D104-F104))</f>
        <v/>
      </c>
    </row>
    <row r="105">
      <c r="A105" s="13">
        <f>IF(AND(ISNUMBER(G104),G104&gt;0.005),89,"")</f>
        <v/>
      </c>
      <c r="B105" s="14">
        <f>IF(A105="","",EDATE($B$7,88))</f>
        <v/>
      </c>
      <c r="C105" s="15">
        <f>IF(A105="","",MIN($B$9,G104+E105))</f>
        <v/>
      </c>
      <c r="D105" s="15">
        <f>IF(A105="","",C105-E105)</f>
        <v/>
      </c>
      <c r="E105" s="15">
        <f>IF(A105="","",G104*$B$5/12)</f>
        <v/>
      </c>
      <c r="F105" s="15">
        <f>IF(A105="","",MIN($B$8,G104+E105-C105))</f>
        <v/>
      </c>
      <c r="G105" s="15">
        <f>IF(A105="","",MAX(0,G104-D105-F105))</f>
        <v/>
      </c>
    </row>
    <row r="106">
      <c r="A106" s="13">
        <f>IF(AND(ISNUMBER(G105),G105&gt;0.005),90,"")</f>
        <v/>
      </c>
      <c r="B106" s="14">
        <f>IF(A106="","",EDATE($B$7,89))</f>
        <v/>
      </c>
      <c r="C106" s="15">
        <f>IF(A106="","",MIN($B$9,G105+E106))</f>
        <v/>
      </c>
      <c r="D106" s="15">
        <f>IF(A106="","",C106-E106)</f>
        <v/>
      </c>
      <c r="E106" s="15">
        <f>IF(A106="","",G105*$B$5/12)</f>
        <v/>
      </c>
      <c r="F106" s="15">
        <f>IF(A106="","",MIN($B$8,G105+E106-C106))</f>
        <v/>
      </c>
      <c r="G106" s="15">
        <f>IF(A106="","",MAX(0,G105-D106-F106))</f>
        <v/>
      </c>
    </row>
    <row r="107">
      <c r="A107" s="13">
        <f>IF(AND(ISNUMBER(G106),G106&gt;0.005),91,"")</f>
        <v/>
      </c>
      <c r="B107" s="14">
        <f>IF(A107="","",EDATE($B$7,90))</f>
        <v/>
      </c>
      <c r="C107" s="15">
        <f>IF(A107="","",MIN($B$9,G106+E107))</f>
        <v/>
      </c>
      <c r="D107" s="15">
        <f>IF(A107="","",C107-E107)</f>
        <v/>
      </c>
      <c r="E107" s="15">
        <f>IF(A107="","",G106*$B$5/12)</f>
        <v/>
      </c>
      <c r="F107" s="15">
        <f>IF(A107="","",MIN($B$8,G106+E107-C107))</f>
        <v/>
      </c>
      <c r="G107" s="15">
        <f>IF(A107="","",MAX(0,G106-D107-F107))</f>
        <v/>
      </c>
    </row>
    <row r="108">
      <c r="A108" s="13">
        <f>IF(AND(ISNUMBER(G107),G107&gt;0.005),92,"")</f>
        <v/>
      </c>
      <c r="B108" s="14">
        <f>IF(A108="","",EDATE($B$7,91))</f>
        <v/>
      </c>
      <c r="C108" s="15">
        <f>IF(A108="","",MIN($B$9,G107+E108))</f>
        <v/>
      </c>
      <c r="D108" s="15">
        <f>IF(A108="","",C108-E108)</f>
        <v/>
      </c>
      <c r="E108" s="15">
        <f>IF(A108="","",G107*$B$5/12)</f>
        <v/>
      </c>
      <c r="F108" s="15">
        <f>IF(A108="","",MIN($B$8,G107+E108-C108))</f>
        <v/>
      </c>
      <c r="G108" s="15">
        <f>IF(A108="","",MAX(0,G107-D108-F108))</f>
        <v/>
      </c>
    </row>
    <row r="109">
      <c r="A109" s="13">
        <f>IF(AND(ISNUMBER(G108),G108&gt;0.005),93,"")</f>
        <v/>
      </c>
      <c r="B109" s="14">
        <f>IF(A109="","",EDATE($B$7,92))</f>
        <v/>
      </c>
      <c r="C109" s="15">
        <f>IF(A109="","",MIN($B$9,G108+E109))</f>
        <v/>
      </c>
      <c r="D109" s="15">
        <f>IF(A109="","",C109-E109)</f>
        <v/>
      </c>
      <c r="E109" s="15">
        <f>IF(A109="","",G108*$B$5/12)</f>
        <v/>
      </c>
      <c r="F109" s="15">
        <f>IF(A109="","",MIN($B$8,G108+E109-C109))</f>
        <v/>
      </c>
      <c r="G109" s="15">
        <f>IF(A109="","",MAX(0,G108-D109-F109))</f>
        <v/>
      </c>
    </row>
    <row r="110">
      <c r="A110" s="13">
        <f>IF(AND(ISNUMBER(G109),G109&gt;0.005),94,"")</f>
        <v/>
      </c>
      <c r="B110" s="14">
        <f>IF(A110="","",EDATE($B$7,93))</f>
        <v/>
      </c>
      <c r="C110" s="15">
        <f>IF(A110="","",MIN($B$9,G109+E110))</f>
        <v/>
      </c>
      <c r="D110" s="15">
        <f>IF(A110="","",C110-E110)</f>
        <v/>
      </c>
      <c r="E110" s="15">
        <f>IF(A110="","",G109*$B$5/12)</f>
        <v/>
      </c>
      <c r="F110" s="15">
        <f>IF(A110="","",MIN($B$8,G109+E110-C110))</f>
        <v/>
      </c>
      <c r="G110" s="15">
        <f>IF(A110="","",MAX(0,G109-D110-F110))</f>
        <v/>
      </c>
    </row>
    <row r="111">
      <c r="A111" s="13">
        <f>IF(AND(ISNUMBER(G110),G110&gt;0.005),95,"")</f>
        <v/>
      </c>
      <c r="B111" s="14">
        <f>IF(A111="","",EDATE($B$7,94))</f>
        <v/>
      </c>
      <c r="C111" s="15">
        <f>IF(A111="","",MIN($B$9,G110+E111))</f>
        <v/>
      </c>
      <c r="D111" s="15">
        <f>IF(A111="","",C111-E111)</f>
        <v/>
      </c>
      <c r="E111" s="15">
        <f>IF(A111="","",G110*$B$5/12)</f>
        <v/>
      </c>
      <c r="F111" s="15">
        <f>IF(A111="","",MIN($B$8,G110+E111-C111))</f>
        <v/>
      </c>
      <c r="G111" s="15">
        <f>IF(A111="","",MAX(0,G110-D111-F111))</f>
        <v/>
      </c>
    </row>
    <row r="112">
      <c r="A112" s="13">
        <f>IF(AND(ISNUMBER(G111),G111&gt;0.005),96,"")</f>
        <v/>
      </c>
      <c r="B112" s="14">
        <f>IF(A112="","",EDATE($B$7,95))</f>
        <v/>
      </c>
      <c r="C112" s="15">
        <f>IF(A112="","",MIN($B$9,G111+E112))</f>
        <v/>
      </c>
      <c r="D112" s="15">
        <f>IF(A112="","",C112-E112)</f>
        <v/>
      </c>
      <c r="E112" s="15">
        <f>IF(A112="","",G111*$B$5/12)</f>
        <v/>
      </c>
      <c r="F112" s="15">
        <f>IF(A112="","",MIN($B$8,G111+E112-C112))</f>
        <v/>
      </c>
      <c r="G112" s="15">
        <f>IF(A112="","",MAX(0,G111-D112-F112))</f>
        <v/>
      </c>
    </row>
    <row r="113">
      <c r="A113" s="13">
        <f>IF(AND(ISNUMBER(G112),G112&gt;0.005),97,"")</f>
        <v/>
      </c>
      <c r="B113" s="14">
        <f>IF(A113="","",EDATE($B$7,96))</f>
        <v/>
      </c>
      <c r="C113" s="15">
        <f>IF(A113="","",MIN($B$9,G112+E113))</f>
        <v/>
      </c>
      <c r="D113" s="15">
        <f>IF(A113="","",C113-E113)</f>
        <v/>
      </c>
      <c r="E113" s="15">
        <f>IF(A113="","",G112*$B$5/12)</f>
        <v/>
      </c>
      <c r="F113" s="15">
        <f>IF(A113="","",MIN($B$8,G112+E113-C113))</f>
        <v/>
      </c>
      <c r="G113" s="15">
        <f>IF(A113="","",MAX(0,G112-D113-F113))</f>
        <v/>
      </c>
    </row>
    <row r="114">
      <c r="A114" s="13">
        <f>IF(AND(ISNUMBER(G113),G113&gt;0.005),98,"")</f>
        <v/>
      </c>
      <c r="B114" s="14">
        <f>IF(A114="","",EDATE($B$7,97))</f>
        <v/>
      </c>
      <c r="C114" s="15">
        <f>IF(A114="","",MIN($B$9,G113+E114))</f>
        <v/>
      </c>
      <c r="D114" s="15">
        <f>IF(A114="","",C114-E114)</f>
        <v/>
      </c>
      <c r="E114" s="15">
        <f>IF(A114="","",G113*$B$5/12)</f>
        <v/>
      </c>
      <c r="F114" s="15">
        <f>IF(A114="","",MIN($B$8,G113+E114-C114))</f>
        <v/>
      </c>
      <c r="G114" s="15">
        <f>IF(A114="","",MAX(0,G113-D114-F114))</f>
        <v/>
      </c>
    </row>
    <row r="115">
      <c r="A115" s="13">
        <f>IF(AND(ISNUMBER(G114),G114&gt;0.005),99,"")</f>
        <v/>
      </c>
      <c r="B115" s="14">
        <f>IF(A115="","",EDATE($B$7,98))</f>
        <v/>
      </c>
      <c r="C115" s="15">
        <f>IF(A115="","",MIN($B$9,G114+E115))</f>
        <v/>
      </c>
      <c r="D115" s="15">
        <f>IF(A115="","",C115-E115)</f>
        <v/>
      </c>
      <c r="E115" s="15">
        <f>IF(A115="","",G114*$B$5/12)</f>
        <v/>
      </c>
      <c r="F115" s="15">
        <f>IF(A115="","",MIN($B$8,G114+E115-C115))</f>
        <v/>
      </c>
      <c r="G115" s="15">
        <f>IF(A115="","",MAX(0,G114-D115-F115))</f>
        <v/>
      </c>
    </row>
    <row r="116">
      <c r="A116" s="13">
        <f>IF(AND(ISNUMBER(G115),G115&gt;0.005),100,"")</f>
        <v/>
      </c>
      <c r="B116" s="14">
        <f>IF(A116="","",EDATE($B$7,99))</f>
        <v/>
      </c>
      <c r="C116" s="15">
        <f>IF(A116="","",MIN($B$9,G115+E116))</f>
        <v/>
      </c>
      <c r="D116" s="15">
        <f>IF(A116="","",C116-E116)</f>
        <v/>
      </c>
      <c r="E116" s="15">
        <f>IF(A116="","",G115*$B$5/12)</f>
        <v/>
      </c>
      <c r="F116" s="15">
        <f>IF(A116="","",MIN($B$8,G115+E116-C116))</f>
        <v/>
      </c>
      <c r="G116" s="15">
        <f>IF(A116="","",MAX(0,G115-D116-F116))</f>
        <v/>
      </c>
    </row>
    <row r="117">
      <c r="A117" s="13">
        <f>IF(AND(ISNUMBER(G116),G116&gt;0.005),101,"")</f>
        <v/>
      </c>
      <c r="B117" s="14">
        <f>IF(A117="","",EDATE($B$7,100))</f>
        <v/>
      </c>
      <c r="C117" s="15">
        <f>IF(A117="","",MIN($B$9,G116+E117))</f>
        <v/>
      </c>
      <c r="D117" s="15">
        <f>IF(A117="","",C117-E117)</f>
        <v/>
      </c>
      <c r="E117" s="15">
        <f>IF(A117="","",G116*$B$5/12)</f>
        <v/>
      </c>
      <c r="F117" s="15">
        <f>IF(A117="","",MIN($B$8,G116+E117-C117))</f>
        <v/>
      </c>
      <c r="G117" s="15">
        <f>IF(A117="","",MAX(0,G116-D117-F117))</f>
        <v/>
      </c>
    </row>
    <row r="118">
      <c r="A118" s="13">
        <f>IF(AND(ISNUMBER(G117),G117&gt;0.005),102,"")</f>
        <v/>
      </c>
      <c r="B118" s="14">
        <f>IF(A118="","",EDATE($B$7,101))</f>
        <v/>
      </c>
      <c r="C118" s="15">
        <f>IF(A118="","",MIN($B$9,G117+E118))</f>
        <v/>
      </c>
      <c r="D118" s="15">
        <f>IF(A118="","",C118-E118)</f>
        <v/>
      </c>
      <c r="E118" s="15">
        <f>IF(A118="","",G117*$B$5/12)</f>
        <v/>
      </c>
      <c r="F118" s="15">
        <f>IF(A118="","",MIN($B$8,G117+E118-C118))</f>
        <v/>
      </c>
      <c r="G118" s="15">
        <f>IF(A118="","",MAX(0,G117-D118-F118))</f>
        <v/>
      </c>
    </row>
    <row r="119">
      <c r="A119" s="13">
        <f>IF(AND(ISNUMBER(G118),G118&gt;0.005),103,"")</f>
        <v/>
      </c>
      <c r="B119" s="14">
        <f>IF(A119="","",EDATE($B$7,102))</f>
        <v/>
      </c>
      <c r="C119" s="15">
        <f>IF(A119="","",MIN($B$9,G118+E119))</f>
        <v/>
      </c>
      <c r="D119" s="15">
        <f>IF(A119="","",C119-E119)</f>
        <v/>
      </c>
      <c r="E119" s="15">
        <f>IF(A119="","",G118*$B$5/12)</f>
        <v/>
      </c>
      <c r="F119" s="15">
        <f>IF(A119="","",MIN($B$8,G118+E119-C119))</f>
        <v/>
      </c>
      <c r="G119" s="15">
        <f>IF(A119="","",MAX(0,G118-D119-F119))</f>
        <v/>
      </c>
    </row>
    <row r="120">
      <c r="A120" s="13">
        <f>IF(AND(ISNUMBER(G119),G119&gt;0.005),104,"")</f>
        <v/>
      </c>
      <c r="B120" s="14">
        <f>IF(A120="","",EDATE($B$7,103))</f>
        <v/>
      </c>
      <c r="C120" s="15">
        <f>IF(A120="","",MIN($B$9,G119+E120))</f>
        <v/>
      </c>
      <c r="D120" s="15">
        <f>IF(A120="","",C120-E120)</f>
        <v/>
      </c>
      <c r="E120" s="15">
        <f>IF(A120="","",G119*$B$5/12)</f>
        <v/>
      </c>
      <c r="F120" s="15">
        <f>IF(A120="","",MIN($B$8,G119+E120-C120))</f>
        <v/>
      </c>
      <c r="G120" s="15">
        <f>IF(A120="","",MAX(0,G119-D120-F120))</f>
        <v/>
      </c>
    </row>
    <row r="121">
      <c r="A121" s="13">
        <f>IF(AND(ISNUMBER(G120),G120&gt;0.005),105,"")</f>
        <v/>
      </c>
      <c r="B121" s="14">
        <f>IF(A121="","",EDATE($B$7,104))</f>
        <v/>
      </c>
      <c r="C121" s="15">
        <f>IF(A121="","",MIN($B$9,G120+E121))</f>
        <v/>
      </c>
      <c r="D121" s="15">
        <f>IF(A121="","",C121-E121)</f>
        <v/>
      </c>
      <c r="E121" s="15">
        <f>IF(A121="","",G120*$B$5/12)</f>
        <v/>
      </c>
      <c r="F121" s="15">
        <f>IF(A121="","",MIN($B$8,G120+E121-C121))</f>
        <v/>
      </c>
      <c r="G121" s="15">
        <f>IF(A121="","",MAX(0,G120-D121-F121))</f>
        <v/>
      </c>
    </row>
    <row r="122">
      <c r="A122" s="13">
        <f>IF(AND(ISNUMBER(G121),G121&gt;0.005),106,"")</f>
        <v/>
      </c>
      <c r="B122" s="14">
        <f>IF(A122="","",EDATE($B$7,105))</f>
        <v/>
      </c>
      <c r="C122" s="15">
        <f>IF(A122="","",MIN($B$9,G121+E122))</f>
        <v/>
      </c>
      <c r="D122" s="15">
        <f>IF(A122="","",C122-E122)</f>
        <v/>
      </c>
      <c r="E122" s="15">
        <f>IF(A122="","",G121*$B$5/12)</f>
        <v/>
      </c>
      <c r="F122" s="15">
        <f>IF(A122="","",MIN($B$8,G121+E122-C122))</f>
        <v/>
      </c>
      <c r="G122" s="15">
        <f>IF(A122="","",MAX(0,G121-D122-F122))</f>
        <v/>
      </c>
    </row>
    <row r="123">
      <c r="A123" s="13">
        <f>IF(AND(ISNUMBER(G122),G122&gt;0.005),107,"")</f>
        <v/>
      </c>
      <c r="B123" s="14">
        <f>IF(A123="","",EDATE($B$7,106))</f>
        <v/>
      </c>
      <c r="C123" s="15">
        <f>IF(A123="","",MIN($B$9,G122+E123))</f>
        <v/>
      </c>
      <c r="D123" s="15">
        <f>IF(A123="","",C123-E123)</f>
        <v/>
      </c>
      <c r="E123" s="15">
        <f>IF(A123="","",G122*$B$5/12)</f>
        <v/>
      </c>
      <c r="F123" s="15">
        <f>IF(A123="","",MIN($B$8,G122+E123-C123))</f>
        <v/>
      </c>
      <c r="G123" s="15">
        <f>IF(A123="","",MAX(0,G122-D123-F123))</f>
        <v/>
      </c>
    </row>
    <row r="124">
      <c r="A124" s="13">
        <f>IF(AND(ISNUMBER(G123),G123&gt;0.005),108,"")</f>
        <v/>
      </c>
      <c r="B124" s="14">
        <f>IF(A124="","",EDATE($B$7,107))</f>
        <v/>
      </c>
      <c r="C124" s="15">
        <f>IF(A124="","",MIN($B$9,G123+E124))</f>
        <v/>
      </c>
      <c r="D124" s="15">
        <f>IF(A124="","",C124-E124)</f>
        <v/>
      </c>
      <c r="E124" s="15">
        <f>IF(A124="","",G123*$B$5/12)</f>
        <v/>
      </c>
      <c r="F124" s="15">
        <f>IF(A124="","",MIN($B$8,G123+E124-C124))</f>
        <v/>
      </c>
      <c r="G124" s="15">
        <f>IF(A124="","",MAX(0,G123-D124-F124))</f>
        <v/>
      </c>
    </row>
    <row r="125">
      <c r="A125" s="13">
        <f>IF(AND(ISNUMBER(G124),G124&gt;0.005),109,"")</f>
        <v/>
      </c>
      <c r="B125" s="14">
        <f>IF(A125="","",EDATE($B$7,108))</f>
        <v/>
      </c>
      <c r="C125" s="15">
        <f>IF(A125="","",MIN($B$9,G124+E125))</f>
        <v/>
      </c>
      <c r="D125" s="15">
        <f>IF(A125="","",C125-E125)</f>
        <v/>
      </c>
      <c r="E125" s="15">
        <f>IF(A125="","",G124*$B$5/12)</f>
        <v/>
      </c>
      <c r="F125" s="15">
        <f>IF(A125="","",MIN($B$8,G124+E125-C125))</f>
        <v/>
      </c>
      <c r="G125" s="15">
        <f>IF(A125="","",MAX(0,G124-D125-F125))</f>
        <v/>
      </c>
    </row>
    <row r="126">
      <c r="A126" s="13">
        <f>IF(AND(ISNUMBER(G125),G125&gt;0.005),110,"")</f>
        <v/>
      </c>
      <c r="B126" s="14">
        <f>IF(A126="","",EDATE($B$7,109))</f>
        <v/>
      </c>
      <c r="C126" s="15">
        <f>IF(A126="","",MIN($B$9,G125+E126))</f>
        <v/>
      </c>
      <c r="D126" s="15">
        <f>IF(A126="","",C126-E126)</f>
        <v/>
      </c>
      <c r="E126" s="15">
        <f>IF(A126="","",G125*$B$5/12)</f>
        <v/>
      </c>
      <c r="F126" s="15">
        <f>IF(A126="","",MIN($B$8,G125+E126-C126))</f>
        <v/>
      </c>
      <c r="G126" s="15">
        <f>IF(A126="","",MAX(0,G125-D126-F126))</f>
        <v/>
      </c>
    </row>
    <row r="127">
      <c r="A127" s="13">
        <f>IF(AND(ISNUMBER(G126),G126&gt;0.005),111,"")</f>
        <v/>
      </c>
      <c r="B127" s="14">
        <f>IF(A127="","",EDATE($B$7,110))</f>
        <v/>
      </c>
      <c r="C127" s="15">
        <f>IF(A127="","",MIN($B$9,G126+E127))</f>
        <v/>
      </c>
      <c r="D127" s="15">
        <f>IF(A127="","",C127-E127)</f>
        <v/>
      </c>
      <c r="E127" s="15">
        <f>IF(A127="","",G126*$B$5/12)</f>
        <v/>
      </c>
      <c r="F127" s="15">
        <f>IF(A127="","",MIN($B$8,G126+E127-C127))</f>
        <v/>
      </c>
      <c r="G127" s="15">
        <f>IF(A127="","",MAX(0,G126-D127-F127))</f>
        <v/>
      </c>
    </row>
    <row r="128">
      <c r="A128" s="13">
        <f>IF(AND(ISNUMBER(G127),G127&gt;0.005),112,"")</f>
        <v/>
      </c>
      <c r="B128" s="14">
        <f>IF(A128="","",EDATE($B$7,111))</f>
        <v/>
      </c>
      <c r="C128" s="15">
        <f>IF(A128="","",MIN($B$9,G127+E128))</f>
        <v/>
      </c>
      <c r="D128" s="15">
        <f>IF(A128="","",C128-E128)</f>
        <v/>
      </c>
      <c r="E128" s="15">
        <f>IF(A128="","",G127*$B$5/12)</f>
        <v/>
      </c>
      <c r="F128" s="15">
        <f>IF(A128="","",MIN($B$8,G127+E128-C128))</f>
        <v/>
      </c>
      <c r="G128" s="15">
        <f>IF(A128="","",MAX(0,G127-D128-F128))</f>
        <v/>
      </c>
    </row>
    <row r="129">
      <c r="A129" s="13">
        <f>IF(AND(ISNUMBER(G128),G128&gt;0.005),113,"")</f>
        <v/>
      </c>
      <c r="B129" s="14">
        <f>IF(A129="","",EDATE($B$7,112))</f>
        <v/>
      </c>
      <c r="C129" s="15">
        <f>IF(A129="","",MIN($B$9,G128+E129))</f>
        <v/>
      </c>
      <c r="D129" s="15">
        <f>IF(A129="","",C129-E129)</f>
        <v/>
      </c>
      <c r="E129" s="15">
        <f>IF(A129="","",G128*$B$5/12)</f>
        <v/>
      </c>
      <c r="F129" s="15">
        <f>IF(A129="","",MIN($B$8,G128+E129-C129))</f>
        <v/>
      </c>
      <c r="G129" s="15">
        <f>IF(A129="","",MAX(0,G128-D129-F129))</f>
        <v/>
      </c>
    </row>
    <row r="130">
      <c r="A130" s="13">
        <f>IF(AND(ISNUMBER(G129),G129&gt;0.005),114,"")</f>
        <v/>
      </c>
      <c r="B130" s="14">
        <f>IF(A130="","",EDATE($B$7,113))</f>
        <v/>
      </c>
      <c r="C130" s="15">
        <f>IF(A130="","",MIN($B$9,G129+E130))</f>
        <v/>
      </c>
      <c r="D130" s="15">
        <f>IF(A130="","",C130-E130)</f>
        <v/>
      </c>
      <c r="E130" s="15">
        <f>IF(A130="","",G129*$B$5/12)</f>
        <v/>
      </c>
      <c r="F130" s="15">
        <f>IF(A130="","",MIN($B$8,G129+E130-C130))</f>
        <v/>
      </c>
      <c r="G130" s="15">
        <f>IF(A130="","",MAX(0,G129-D130-F130))</f>
        <v/>
      </c>
    </row>
    <row r="131">
      <c r="A131" s="13">
        <f>IF(AND(ISNUMBER(G130),G130&gt;0.005),115,"")</f>
        <v/>
      </c>
      <c r="B131" s="14">
        <f>IF(A131="","",EDATE($B$7,114))</f>
        <v/>
      </c>
      <c r="C131" s="15">
        <f>IF(A131="","",MIN($B$9,G130+E131))</f>
        <v/>
      </c>
      <c r="D131" s="15">
        <f>IF(A131="","",C131-E131)</f>
        <v/>
      </c>
      <c r="E131" s="15">
        <f>IF(A131="","",G130*$B$5/12)</f>
        <v/>
      </c>
      <c r="F131" s="15">
        <f>IF(A131="","",MIN($B$8,G130+E131-C131))</f>
        <v/>
      </c>
      <c r="G131" s="15">
        <f>IF(A131="","",MAX(0,G130-D131-F131))</f>
        <v/>
      </c>
    </row>
    <row r="132">
      <c r="A132" s="13">
        <f>IF(AND(ISNUMBER(G131),G131&gt;0.005),116,"")</f>
        <v/>
      </c>
      <c r="B132" s="14">
        <f>IF(A132="","",EDATE($B$7,115))</f>
        <v/>
      </c>
      <c r="C132" s="15">
        <f>IF(A132="","",MIN($B$9,G131+E132))</f>
        <v/>
      </c>
      <c r="D132" s="15">
        <f>IF(A132="","",C132-E132)</f>
        <v/>
      </c>
      <c r="E132" s="15">
        <f>IF(A132="","",G131*$B$5/12)</f>
        <v/>
      </c>
      <c r="F132" s="15">
        <f>IF(A132="","",MIN($B$8,G131+E132-C132))</f>
        <v/>
      </c>
      <c r="G132" s="15">
        <f>IF(A132="","",MAX(0,G131-D132-F132))</f>
        <v/>
      </c>
    </row>
    <row r="133">
      <c r="A133" s="13">
        <f>IF(AND(ISNUMBER(G132),G132&gt;0.005),117,"")</f>
        <v/>
      </c>
      <c r="B133" s="14">
        <f>IF(A133="","",EDATE($B$7,116))</f>
        <v/>
      </c>
      <c r="C133" s="15">
        <f>IF(A133="","",MIN($B$9,G132+E133))</f>
        <v/>
      </c>
      <c r="D133" s="15">
        <f>IF(A133="","",C133-E133)</f>
        <v/>
      </c>
      <c r="E133" s="15">
        <f>IF(A133="","",G132*$B$5/12)</f>
        <v/>
      </c>
      <c r="F133" s="15">
        <f>IF(A133="","",MIN($B$8,G132+E133-C133))</f>
        <v/>
      </c>
      <c r="G133" s="15">
        <f>IF(A133="","",MAX(0,G132-D133-F133))</f>
        <v/>
      </c>
    </row>
    <row r="134">
      <c r="A134" s="13">
        <f>IF(AND(ISNUMBER(G133),G133&gt;0.005),118,"")</f>
        <v/>
      </c>
      <c r="B134" s="14">
        <f>IF(A134="","",EDATE($B$7,117))</f>
        <v/>
      </c>
      <c r="C134" s="15">
        <f>IF(A134="","",MIN($B$9,G133+E134))</f>
        <v/>
      </c>
      <c r="D134" s="15">
        <f>IF(A134="","",C134-E134)</f>
        <v/>
      </c>
      <c r="E134" s="15">
        <f>IF(A134="","",G133*$B$5/12)</f>
        <v/>
      </c>
      <c r="F134" s="15">
        <f>IF(A134="","",MIN($B$8,G133+E134-C134))</f>
        <v/>
      </c>
      <c r="G134" s="15">
        <f>IF(A134="","",MAX(0,G133-D134-F134))</f>
        <v/>
      </c>
    </row>
    <row r="135">
      <c r="A135" s="13">
        <f>IF(AND(ISNUMBER(G134),G134&gt;0.005),119,"")</f>
        <v/>
      </c>
      <c r="B135" s="14">
        <f>IF(A135="","",EDATE($B$7,118))</f>
        <v/>
      </c>
      <c r="C135" s="15">
        <f>IF(A135="","",MIN($B$9,G134+E135))</f>
        <v/>
      </c>
      <c r="D135" s="15">
        <f>IF(A135="","",C135-E135)</f>
        <v/>
      </c>
      <c r="E135" s="15">
        <f>IF(A135="","",G134*$B$5/12)</f>
        <v/>
      </c>
      <c r="F135" s="15">
        <f>IF(A135="","",MIN($B$8,G134+E135-C135))</f>
        <v/>
      </c>
      <c r="G135" s="15">
        <f>IF(A135="","",MAX(0,G134-D135-F135))</f>
        <v/>
      </c>
    </row>
    <row r="136">
      <c r="A136" s="13">
        <f>IF(AND(ISNUMBER(G135),G135&gt;0.005),120,"")</f>
        <v/>
      </c>
      <c r="B136" s="14">
        <f>IF(A136="","",EDATE($B$7,119))</f>
        <v/>
      </c>
      <c r="C136" s="15">
        <f>IF(A136="","",MIN($B$9,G135+E136))</f>
        <v/>
      </c>
      <c r="D136" s="15">
        <f>IF(A136="","",C136-E136)</f>
        <v/>
      </c>
      <c r="E136" s="15">
        <f>IF(A136="","",G135*$B$5/12)</f>
        <v/>
      </c>
      <c r="F136" s="15">
        <f>IF(A136="","",MIN($B$8,G135+E136-C136))</f>
        <v/>
      </c>
      <c r="G136" s="15">
        <f>IF(A136="","",MAX(0,G135-D136-F136))</f>
        <v/>
      </c>
    </row>
    <row r="137">
      <c r="A137" s="13">
        <f>IF(AND(ISNUMBER(G136),G136&gt;0.005),121,"")</f>
        <v/>
      </c>
      <c r="B137" s="14">
        <f>IF(A137="","",EDATE($B$7,120))</f>
        <v/>
      </c>
      <c r="C137" s="15">
        <f>IF(A137="","",MIN($B$9,G136+E137))</f>
        <v/>
      </c>
      <c r="D137" s="15">
        <f>IF(A137="","",C137-E137)</f>
        <v/>
      </c>
      <c r="E137" s="15">
        <f>IF(A137="","",G136*$B$5/12)</f>
        <v/>
      </c>
      <c r="F137" s="15">
        <f>IF(A137="","",MIN($B$8,G136+E137-C137))</f>
        <v/>
      </c>
      <c r="G137" s="15">
        <f>IF(A137="","",MAX(0,G136-D137-F137))</f>
        <v/>
      </c>
    </row>
    <row r="138">
      <c r="A138" s="13">
        <f>IF(AND(ISNUMBER(G137),G137&gt;0.005),122,"")</f>
        <v/>
      </c>
      <c r="B138" s="14">
        <f>IF(A138="","",EDATE($B$7,121))</f>
        <v/>
      </c>
      <c r="C138" s="15">
        <f>IF(A138="","",MIN($B$9,G137+E138))</f>
        <v/>
      </c>
      <c r="D138" s="15">
        <f>IF(A138="","",C138-E138)</f>
        <v/>
      </c>
      <c r="E138" s="15">
        <f>IF(A138="","",G137*$B$5/12)</f>
        <v/>
      </c>
      <c r="F138" s="15">
        <f>IF(A138="","",MIN($B$8,G137+E138-C138))</f>
        <v/>
      </c>
      <c r="G138" s="15">
        <f>IF(A138="","",MAX(0,G137-D138-F138))</f>
        <v/>
      </c>
    </row>
    <row r="139">
      <c r="A139" s="13">
        <f>IF(AND(ISNUMBER(G138),G138&gt;0.005),123,"")</f>
        <v/>
      </c>
      <c r="B139" s="14">
        <f>IF(A139="","",EDATE($B$7,122))</f>
        <v/>
      </c>
      <c r="C139" s="15">
        <f>IF(A139="","",MIN($B$9,G138+E139))</f>
        <v/>
      </c>
      <c r="D139" s="15">
        <f>IF(A139="","",C139-E139)</f>
        <v/>
      </c>
      <c r="E139" s="15">
        <f>IF(A139="","",G138*$B$5/12)</f>
        <v/>
      </c>
      <c r="F139" s="15">
        <f>IF(A139="","",MIN($B$8,G138+E139-C139))</f>
        <v/>
      </c>
      <c r="G139" s="15">
        <f>IF(A139="","",MAX(0,G138-D139-F139))</f>
        <v/>
      </c>
    </row>
    <row r="140">
      <c r="A140" s="13">
        <f>IF(AND(ISNUMBER(G139),G139&gt;0.005),124,"")</f>
        <v/>
      </c>
      <c r="B140" s="14">
        <f>IF(A140="","",EDATE($B$7,123))</f>
        <v/>
      </c>
      <c r="C140" s="15">
        <f>IF(A140="","",MIN($B$9,G139+E140))</f>
        <v/>
      </c>
      <c r="D140" s="15">
        <f>IF(A140="","",C140-E140)</f>
        <v/>
      </c>
      <c r="E140" s="15">
        <f>IF(A140="","",G139*$B$5/12)</f>
        <v/>
      </c>
      <c r="F140" s="15">
        <f>IF(A140="","",MIN($B$8,G139+E140-C140))</f>
        <v/>
      </c>
      <c r="G140" s="15">
        <f>IF(A140="","",MAX(0,G139-D140-F140))</f>
        <v/>
      </c>
    </row>
    <row r="141">
      <c r="A141" s="13">
        <f>IF(AND(ISNUMBER(G140),G140&gt;0.005),125,"")</f>
        <v/>
      </c>
      <c r="B141" s="14">
        <f>IF(A141="","",EDATE($B$7,124))</f>
        <v/>
      </c>
      <c r="C141" s="15">
        <f>IF(A141="","",MIN($B$9,G140+E141))</f>
        <v/>
      </c>
      <c r="D141" s="15">
        <f>IF(A141="","",C141-E141)</f>
        <v/>
      </c>
      <c r="E141" s="15">
        <f>IF(A141="","",G140*$B$5/12)</f>
        <v/>
      </c>
      <c r="F141" s="15">
        <f>IF(A141="","",MIN($B$8,G140+E141-C141))</f>
        <v/>
      </c>
      <c r="G141" s="15">
        <f>IF(A141="","",MAX(0,G140-D141-F141))</f>
        <v/>
      </c>
    </row>
    <row r="142">
      <c r="A142" s="13">
        <f>IF(AND(ISNUMBER(G141),G141&gt;0.005),126,"")</f>
        <v/>
      </c>
      <c r="B142" s="14">
        <f>IF(A142="","",EDATE($B$7,125))</f>
        <v/>
      </c>
      <c r="C142" s="15">
        <f>IF(A142="","",MIN($B$9,G141+E142))</f>
        <v/>
      </c>
      <c r="D142" s="15">
        <f>IF(A142="","",C142-E142)</f>
        <v/>
      </c>
      <c r="E142" s="15">
        <f>IF(A142="","",G141*$B$5/12)</f>
        <v/>
      </c>
      <c r="F142" s="15">
        <f>IF(A142="","",MIN($B$8,G141+E142-C142))</f>
        <v/>
      </c>
      <c r="G142" s="15">
        <f>IF(A142="","",MAX(0,G141-D142-F142))</f>
        <v/>
      </c>
    </row>
    <row r="143">
      <c r="A143" s="13">
        <f>IF(AND(ISNUMBER(G142),G142&gt;0.005),127,"")</f>
        <v/>
      </c>
      <c r="B143" s="14">
        <f>IF(A143="","",EDATE($B$7,126))</f>
        <v/>
      </c>
      <c r="C143" s="15">
        <f>IF(A143="","",MIN($B$9,G142+E143))</f>
        <v/>
      </c>
      <c r="D143" s="15">
        <f>IF(A143="","",C143-E143)</f>
        <v/>
      </c>
      <c r="E143" s="15">
        <f>IF(A143="","",G142*$B$5/12)</f>
        <v/>
      </c>
      <c r="F143" s="15">
        <f>IF(A143="","",MIN($B$8,G142+E143-C143))</f>
        <v/>
      </c>
      <c r="G143" s="15">
        <f>IF(A143="","",MAX(0,G142-D143-F143))</f>
        <v/>
      </c>
    </row>
    <row r="144">
      <c r="A144" s="13">
        <f>IF(AND(ISNUMBER(G143),G143&gt;0.005),128,"")</f>
        <v/>
      </c>
      <c r="B144" s="14">
        <f>IF(A144="","",EDATE($B$7,127))</f>
        <v/>
      </c>
      <c r="C144" s="15">
        <f>IF(A144="","",MIN($B$9,G143+E144))</f>
        <v/>
      </c>
      <c r="D144" s="15">
        <f>IF(A144="","",C144-E144)</f>
        <v/>
      </c>
      <c r="E144" s="15">
        <f>IF(A144="","",G143*$B$5/12)</f>
        <v/>
      </c>
      <c r="F144" s="15">
        <f>IF(A144="","",MIN($B$8,G143+E144-C144))</f>
        <v/>
      </c>
      <c r="G144" s="15">
        <f>IF(A144="","",MAX(0,G143-D144-F144))</f>
        <v/>
      </c>
    </row>
    <row r="145">
      <c r="A145" s="13">
        <f>IF(AND(ISNUMBER(G144),G144&gt;0.005),129,"")</f>
        <v/>
      </c>
      <c r="B145" s="14">
        <f>IF(A145="","",EDATE($B$7,128))</f>
        <v/>
      </c>
      <c r="C145" s="15">
        <f>IF(A145="","",MIN($B$9,G144+E145))</f>
        <v/>
      </c>
      <c r="D145" s="15">
        <f>IF(A145="","",C145-E145)</f>
        <v/>
      </c>
      <c r="E145" s="15">
        <f>IF(A145="","",G144*$B$5/12)</f>
        <v/>
      </c>
      <c r="F145" s="15">
        <f>IF(A145="","",MIN($B$8,G144+E145-C145))</f>
        <v/>
      </c>
      <c r="G145" s="15">
        <f>IF(A145="","",MAX(0,G144-D145-F145))</f>
        <v/>
      </c>
    </row>
    <row r="146">
      <c r="A146" s="13">
        <f>IF(AND(ISNUMBER(G145),G145&gt;0.005),130,"")</f>
        <v/>
      </c>
      <c r="B146" s="14">
        <f>IF(A146="","",EDATE($B$7,129))</f>
        <v/>
      </c>
      <c r="C146" s="15">
        <f>IF(A146="","",MIN($B$9,G145+E146))</f>
        <v/>
      </c>
      <c r="D146" s="15">
        <f>IF(A146="","",C146-E146)</f>
        <v/>
      </c>
      <c r="E146" s="15">
        <f>IF(A146="","",G145*$B$5/12)</f>
        <v/>
      </c>
      <c r="F146" s="15">
        <f>IF(A146="","",MIN($B$8,G145+E146-C146))</f>
        <v/>
      </c>
      <c r="G146" s="15">
        <f>IF(A146="","",MAX(0,G145-D146-F146))</f>
        <v/>
      </c>
    </row>
    <row r="147">
      <c r="A147" s="13">
        <f>IF(AND(ISNUMBER(G146),G146&gt;0.005),131,"")</f>
        <v/>
      </c>
      <c r="B147" s="14">
        <f>IF(A147="","",EDATE($B$7,130))</f>
        <v/>
      </c>
      <c r="C147" s="15">
        <f>IF(A147="","",MIN($B$9,G146+E147))</f>
        <v/>
      </c>
      <c r="D147" s="15">
        <f>IF(A147="","",C147-E147)</f>
        <v/>
      </c>
      <c r="E147" s="15">
        <f>IF(A147="","",G146*$B$5/12)</f>
        <v/>
      </c>
      <c r="F147" s="15">
        <f>IF(A147="","",MIN($B$8,G146+E147-C147))</f>
        <v/>
      </c>
      <c r="G147" s="15">
        <f>IF(A147="","",MAX(0,G146-D147-F147))</f>
        <v/>
      </c>
    </row>
    <row r="148">
      <c r="A148" s="13">
        <f>IF(AND(ISNUMBER(G147),G147&gt;0.005),132,"")</f>
        <v/>
      </c>
      <c r="B148" s="14">
        <f>IF(A148="","",EDATE($B$7,131))</f>
        <v/>
      </c>
      <c r="C148" s="15">
        <f>IF(A148="","",MIN($B$9,G147+E148))</f>
        <v/>
      </c>
      <c r="D148" s="15">
        <f>IF(A148="","",C148-E148)</f>
        <v/>
      </c>
      <c r="E148" s="15">
        <f>IF(A148="","",G147*$B$5/12)</f>
        <v/>
      </c>
      <c r="F148" s="15">
        <f>IF(A148="","",MIN($B$8,G147+E148-C148))</f>
        <v/>
      </c>
      <c r="G148" s="15">
        <f>IF(A148="","",MAX(0,G147-D148-F148))</f>
        <v/>
      </c>
    </row>
    <row r="149">
      <c r="A149" s="13">
        <f>IF(AND(ISNUMBER(G148),G148&gt;0.005),133,"")</f>
        <v/>
      </c>
      <c r="B149" s="14">
        <f>IF(A149="","",EDATE($B$7,132))</f>
        <v/>
      </c>
      <c r="C149" s="15">
        <f>IF(A149="","",MIN($B$9,G148+E149))</f>
        <v/>
      </c>
      <c r="D149" s="15">
        <f>IF(A149="","",C149-E149)</f>
        <v/>
      </c>
      <c r="E149" s="15">
        <f>IF(A149="","",G148*$B$5/12)</f>
        <v/>
      </c>
      <c r="F149" s="15">
        <f>IF(A149="","",MIN($B$8,G148+E149-C149))</f>
        <v/>
      </c>
      <c r="G149" s="15">
        <f>IF(A149="","",MAX(0,G148-D149-F149))</f>
        <v/>
      </c>
    </row>
    <row r="150">
      <c r="A150" s="13">
        <f>IF(AND(ISNUMBER(G149),G149&gt;0.005),134,"")</f>
        <v/>
      </c>
      <c r="B150" s="14">
        <f>IF(A150="","",EDATE($B$7,133))</f>
        <v/>
      </c>
      <c r="C150" s="15">
        <f>IF(A150="","",MIN($B$9,G149+E150))</f>
        <v/>
      </c>
      <c r="D150" s="15">
        <f>IF(A150="","",C150-E150)</f>
        <v/>
      </c>
      <c r="E150" s="15">
        <f>IF(A150="","",G149*$B$5/12)</f>
        <v/>
      </c>
      <c r="F150" s="15">
        <f>IF(A150="","",MIN($B$8,G149+E150-C150))</f>
        <v/>
      </c>
      <c r="G150" s="15">
        <f>IF(A150="","",MAX(0,G149-D150-F150))</f>
        <v/>
      </c>
    </row>
    <row r="151">
      <c r="A151" s="13">
        <f>IF(AND(ISNUMBER(G150),G150&gt;0.005),135,"")</f>
        <v/>
      </c>
      <c r="B151" s="14">
        <f>IF(A151="","",EDATE($B$7,134))</f>
        <v/>
      </c>
      <c r="C151" s="15">
        <f>IF(A151="","",MIN($B$9,G150+E151))</f>
        <v/>
      </c>
      <c r="D151" s="15">
        <f>IF(A151="","",C151-E151)</f>
        <v/>
      </c>
      <c r="E151" s="15">
        <f>IF(A151="","",G150*$B$5/12)</f>
        <v/>
      </c>
      <c r="F151" s="15">
        <f>IF(A151="","",MIN($B$8,G150+E151-C151))</f>
        <v/>
      </c>
      <c r="G151" s="15">
        <f>IF(A151="","",MAX(0,G150-D151-F151))</f>
        <v/>
      </c>
    </row>
    <row r="152">
      <c r="A152" s="13">
        <f>IF(AND(ISNUMBER(G151),G151&gt;0.005),136,"")</f>
        <v/>
      </c>
      <c r="B152" s="14">
        <f>IF(A152="","",EDATE($B$7,135))</f>
        <v/>
      </c>
      <c r="C152" s="15">
        <f>IF(A152="","",MIN($B$9,G151+E152))</f>
        <v/>
      </c>
      <c r="D152" s="15">
        <f>IF(A152="","",C152-E152)</f>
        <v/>
      </c>
      <c r="E152" s="15">
        <f>IF(A152="","",G151*$B$5/12)</f>
        <v/>
      </c>
      <c r="F152" s="15">
        <f>IF(A152="","",MIN($B$8,G151+E152-C152))</f>
        <v/>
      </c>
      <c r="G152" s="15">
        <f>IF(A152="","",MAX(0,G151-D152-F152))</f>
        <v/>
      </c>
    </row>
    <row r="153">
      <c r="A153" s="13">
        <f>IF(AND(ISNUMBER(G152),G152&gt;0.005),137,"")</f>
        <v/>
      </c>
      <c r="B153" s="14">
        <f>IF(A153="","",EDATE($B$7,136))</f>
        <v/>
      </c>
      <c r="C153" s="15">
        <f>IF(A153="","",MIN($B$9,G152+E153))</f>
        <v/>
      </c>
      <c r="D153" s="15">
        <f>IF(A153="","",C153-E153)</f>
        <v/>
      </c>
      <c r="E153" s="15">
        <f>IF(A153="","",G152*$B$5/12)</f>
        <v/>
      </c>
      <c r="F153" s="15">
        <f>IF(A153="","",MIN($B$8,G152+E153-C153))</f>
        <v/>
      </c>
      <c r="G153" s="15">
        <f>IF(A153="","",MAX(0,G152-D153-F153))</f>
        <v/>
      </c>
    </row>
    <row r="154">
      <c r="A154" s="13">
        <f>IF(AND(ISNUMBER(G153),G153&gt;0.005),138,"")</f>
        <v/>
      </c>
      <c r="B154" s="14">
        <f>IF(A154="","",EDATE($B$7,137))</f>
        <v/>
      </c>
      <c r="C154" s="15">
        <f>IF(A154="","",MIN($B$9,G153+E154))</f>
        <v/>
      </c>
      <c r="D154" s="15">
        <f>IF(A154="","",C154-E154)</f>
        <v/>
      </c>
      <c r="E154" s="15">
        <f>IF(A154="","",G153*$B$5/12)</f>
        <v/>
      </c>
      <c r="F154" s="15">
        <f>IF(A154="","",MIN($B$8,G153+E154-C154))</f>
        <v/>
      </c>
      <c r="G154" s="15">
        <f>IF(A154="","",MAX(0,G153-D154-F154))</f>
        <v/>
      </c>
    </row>
    <row r="155">
      <c r="A155" s="13">
        <f>IF(AND(ISNUMBER(G154),G154&gt;0.005),139,"")</f>
        <v/>
      </c>
      <c r="B155" s="14">
        <f>IF(A155="","",EDATE($B$7,138))</f>
        <v/>
      </c>
      <c r="C155" s="15">
        <f>IF(A155="","",MIN($B$9,G154+E155))</f>
        <v/>
      </c>
      <c r="D155" s="15">
        <f>IF(A155="","",C155-E155)</f>
        <v/>
      </c>
      <c r="E155" s="15">
        <f>IF(A155="","",G154*$B$5/12)</f>
        <v/>
      </c>
      <c r="F155" s="15">
        <f>IF(A155="","",MIN($B$8,G154+E155-C155))</f>
        <v/>
      </c>
      <c r="G155" s="15">
        <f>IF(A155="","",MAX(0,G154-D155-F155))</f>
        <v/>
      </c>
    </row>
    <row r="156">
      <c r="A156" s="13">
        <f>IF(AND(ISNUMBER(G155),G155&gt;0.005),140,"")</f>
        <v/>
      </c>
      <c r="B156" s="14">
        <f>IF(A156="","",EDATE($B$7,139))</f>
        <v/>
      </c>
      <c r="C156" s="15">
        <f>IF(A156="","",MIN($B$9,G155+E156))</f>
        <v/>
      </c>
      <c r="D156" s="15">
        <f>IF(A156="","",C156-E156)</f>
        <v/>
      </c>
      <c r="E156" s="15">
        <f>IF(A156="","",G155*$B$5/12)</f>
        <v/>
      </c>
      <c r="F156" s="15">
        <f>IF(A156="","",MIN($B$8,G155+E156-C156))</f>
        <v/>
      </c>
      <c r="G156" s="15">
        <f>IF(A156="","",MAX(0,G155-D156-F156))</f>
        <v/>
      </c>
    </row>
    <row r="157">
      <c r="A157" s="13">
        <f>IF(AND(ISNUMBER(G156),G156&gt;0.005),141,"")</f>
        <v/>
      </c>
      <c r="B157" s="14">
        <f>IF(A157="","",EDATE($B$7,140))</f>
        <v/>
      </c>
      <c r="C157" s="15">
        <f>IF(A157="","",MIN($B$9,G156+E157))</f>
        <v/>
      </c>
      <c r="D157" s="15">
        <f>IF(A157="","",C157-E157)</f>
        <v/>
      </c>
      <c r="E157" s="15">
        <f>IF(A157="","",G156*$B$5/12)</f>
        <v/>
      </c>
      <c r="F157" s="15">
        <f>IF(A157="","",MIN($B$8,G156+E157-C157))</f>
        <v/>
      </c>
      <c r="G157" s="15">
        <f>IF(A157="","",MAX(0,G156-D157-F157))</f>
        <v/>
      </c>
    </row>
    <row r="158">
      <c r="A158" s="13">
        <f>IF(AND(ISNUMBER(G157),G157&gt;0.005),142,"")</f>
        <v/>
      </c>
      <c r="B158" s="14">
        <f>IF(A158="","",EDATE($B$7,141))</f>
        <v/>
      </c>
      <c r="C158" s="15">
        <f>IF(A158="","",MIN($B$9,G157+E158))</f>
        <v/>
      </c>
      <c r="D158" s="15">
        <f>IF(A158="","",C158-E158)</f>
        <v/>
      </c>
      <c r="E158" s="15">
        <f>IF(A158="","",G157*$B$5/12)</f>
        <v/>
      </c>
      <c r="F158" s="15">
        <f>IF(A158="","",MIN($B$8,G157+E158-C158))</f>
        <v/>
      </c>
      <c r="G158" s="15">
        <f>IF(A158="","",MAX(0,G157-D158-F158))</f>
        <v/>
      </c>
    </row>
    <row r="159">
      <c r="A159" s="13">
        <f>IF(AND(ISNUMBER(G158),G158&gt;0.005),143,"")</f>
        <v/>
      </c>
      <c r="B159" s="14">
        <f>IF(A159="","",EDATE($B$7,142))</f>
        <v/>
      </c>
      <c r="C159" s="15">
        <f>IF(A159="","",MIN($B$9,G158+E159))</f>
        <v/>
      </c>
      <c r="D159" s="15">
        <f>IF(A159="","",C159-E159)</f>
        <v/>
      </c>
      <c r="E159" s="15">
        <f>IF(A159="","",G158*$B$5/12)</f>
        <v/>
      </c>
      <c r="F159" s="15">
        <f>IF(A159="","",MIN($B$8,G158+E159-C159))</f>
        <v/>
      </c>
      <c r="G159" s="15">
        <f>IF(A159="","",MAX(0,G158-D159-F159))</f>
        <v/>
      </c>
    </row>
    <row r="160">
      <c r="A160" s="13">
        <f>IF(AND(ISNUMBER(G159),G159&gt;0.005),144,"")</f>
        <v/>
      </c>
      <c r="B160" s="14">
        <f>IF(A160="","",EDATE($B$7,143))</f>
        <v/>
      </c>
      <c r="C160" s="15">
        <f>IF(A160="","",MIN($B$9,G159+E160))</f>
        <v/>
      </c>
      <c r="D160" s="15">
        <f>IF(A160="","",C160-E160)</f>
        <v/>
      </c>
      <c r="E160" s="15">
        <f>IF(A160="","",G159*$B$5/12)</f>
        <v/>
      </c>
      <c r="F160" s="15">
        <f>IF(A160="","",MIN($B$8,G159+E160-C160))</f>
        <v/>
      </c>
      <c r="G160" s="15">
        <f>IF(A160="","",MAX(0,G159-D160-F160))</f>
        <v/>
      </c>
    </row>
    <row r="161">
      <c r="A161" s="13">
        <f>IF(AND(ISNUMBER(G160),G160&gt;0.005),145,"")</f>
        <v/>
      </c>
      <c r="B161" s="14">
        <f>IF(A161="","",EDATE($B$7,144))</f>
        <v/>
      </c>
      <c r="C161" s="15">
        <f>IF(A161="","",MIN($B$9,G160+E161))</f>
        <v/>
      </c>
      <c r="D161" s="15">
        <f>IF(A161="","",C161-E161)</f>
        <v/>
      </c>
      <c r="E161" s="15">
        <f>IF(A161="","",G160*$B$5/12)</f>
        <v/>
      </c>
      <c r="F161" s="15">
        <f>IF(A161="","",MIN($B$8,G160+E161-C161))</f>
        <v/>
      </c>
      <c r="G161" s="15">
        <f>IF(A161="","",MAX(0,G160-D161-F161))</f>
        <v/>
      </c>
    </row>
    <row r="162">
      <c r="A162" s="13">
        <f>IF(AND(ISNUMBER(G161),G161&gt;0.005),146,"")</f>
        <v/>
      </c>
      <c r="B162" s="14">
        <f>IF(A162="","",EDATE($B$7,145))</f>
        <v/>
      </c>
      <c r="C162" s="15">
        <f>IF(A162="","",MIN($B$9,G161+E162))</f>
        <v/>
      </c>
      <c r="D162" s="15">
        <f>IF(A162="","",C162-E162)</f>
        <v/>
      </c>
      <c r="E162" s="15">
        <f>IF(A162="","",G161*$B$5/12)</f>
        <v/>
      </c>
      <c r="F162" s="15">
        <f>IF(A162="","",MIN($B$8,G161+E162-C162))</f>
        <v/>
      </c>
      <c r="G162" s="15">
        <f>IF(A162="","",MAX(0,G161-D162-F162))</f>
        <v/>
      </c>
    </row>
    <row r="163">
      <c r="A163" s="13">
        <f>IF(AND(ISNUMBER(G162),G162&gt;0.005),147,"")</f>
        <v/>
      </c>
      <c r="B163" s="14">
        <f>IF(A163="","",EDATE($B$7,146))</f>
        <v/>
      </c>
      <c r="C163" s="15">
        <f>IF(A163="","",MIN($B$9,G162+E163))</f>
        <v/>
      </c>
      <c r="D163" s="15">
        <f>IF(A163="","",C163-E163)</f>
        <v/>
      </c>
      <c r="E163" s="15">
        <f>IF(A163="","",G162*$B$5/12)</f>
        <v/>
      </c>
      <c r="F163" s="15">
        <f>IF(A163="","",MIN($B$8,G162+E163-C163))</f>
        <v/>
      </c>
      <c r="G163" s="15">
        <f>IF(A163="","",MAX(0,G162-D163-F163))</f>
        <v/>
      </c>
    </row>
    <row r="164">
      <c r="A164" s="13">
        <f>IF(AND(ISNUMBER(G163),G163&gt;0.005),148,"")</f>
        <v/>
      </c>
      <c r="B164" s="14">
        <f>IF(A164="","",EDATE($B$7,147))</f>
        <v/>
      </c>
      <c r="C164" s="15">
        <f>IF(A164="","",MIN($B$9,G163+E164))</f>
        <v/>
      </c>
      <c r="D164" s="15">
        <f>IF(A164="","",C164-E164)</f>
        <v/>
      </c>
      <c r="E164" s="15">
        <f>IF(A164="","",G163*$B$5/12)</f>
        <v/>
      </c>
      <c r="F164" s="15">
        <f>IF(A164="","",MIN($B$8,G163+E164-C164))</f>
        <v/>
      </c>
      <c r="G164" s="15">
        <f>IF(A164="","",MAX(0,G163-D164-F164))</f>
        <v/>
      </c>
    </row>
    <row r="165">
      <c r="A165" s="13">
        <f>IF(AND(ISNUMBER(G164),G164&gt;0.005),149,"")</f>
        <v/>
      </c>
      <c r="B165" s="14">
        <f>IF(A165="","",EDATE($B$7,148))</f>
        <v/>
      </c>
      <c r="C165" s="15">
        <f>IF(A165="","",MIN($B$9,G164+E165))</f>
        <v/>
      </c>
      <c r="D165" s="15">
        <f>IF(A165="","",C165-E165)</f>
        <v/>
      </c>
      <c r="E165" s="15">
        <f>IF(A165="","",G164*$B$5/12)</f>
        <v/>
      </c>
      <c r="F165" s="15">
        <f>IF(A165="","",MIN($B$8,G164+E165-C165))</f>
        <v/>
      </c>
      <c r="G165" s="15">
        <f>IF(A165="","",MAX(0,G164-D165-F165))</f>
        <v/>
      </c>
    </row>
    <row r="166">
      <c r="A166" s="13">
        <f>IF(AND(ISNUMBER(G165),G165&gt;0.005),150,"")</f>
        <v/>
      </c>
      <c r="B166" s="14">
        <f>IF(A166="","",EDATE($B$7,149))</f>
        <v/>
      </c>
      <c r="C166" s="15">
        <f>IF(A166="","",MIN($B$9,G165+E166))</f>
        <v/>
      </c>
      <c r="D166" s="15">
        <f>IF(A166="","",C166-E166)</f>
        <v/>
      </c>
      <c r="E166" s="15">
        <f>IF(A166="","",G165*$B$5/12)</f>
        <v/>
      </c>
      <c r="F166" s="15">
        <f>IF(A166="","",MIN($B$8,G165+E166-C166))</f>
        <v/>
      </c>
      <c r="G166" s="15">
        <f>IF(A166="","",MAX(0,G165-D166-F166))</f>
        <v/>
      </c>
    </row>
    <row r="167">
      <c r="A167" s="13">
        <f>IF(AND(ISNUMBER(G166),G166&gt;0.005),151,"")</f>
        <v/>
      </c>
      <c r="B167" s="14">
        <f>IF(A167="","",EDATE($B$7,150))</f>
        <v/>
      </c>
      <c r="C167" s="15">
        <f>IF(A167="","",MIN($B$9,G166+E167))</f>
        <v/>
      </c>
      <c r="D167" s="15">
        <f>IF(A167="","",C167-E167)</f>
        <v/>
      </c>
      <c r="E167" s="15">
        <f>IF(A167="","",G166*$B$5/12)</f>
        <v/>
      </c>
      <c r="F167" s="15">
        <f>IF(A167="","",MIN($B$8,G166+E167-C167))</f>
        <v/>
      </c>
      <c r="G167" s="15">
        <f>IF(A167="","",MAX(0,G166-D167-F167))</f>
        <v/>
      </c>
    </row>
    <row r="168">
      <c r="A168" s="13">
        <f>IF(AND(ISNUMBER(G167),G167&gt;0.005),152,"")</f>
        <v/>
      </c>
      <c r="B168" s="14">
        <f>IF(A168="","",EDATE($B$7,151))</f>
        <v/>
      </c>
      <c r="C168" s="15">
        <f>IF(A168="","",MIN($B$9,G167+E168))</f>
        <v/>
      </c>
      <c r="D168" s="15">
        <f>IF(A168="","",C168-E168)</f>
        <v/>
      </c>
      <c r="E168" s="15">
        <f>IF(A168="","",G167*$B$5/12)</f>
        <v/>
      </c>
      <c r="F168" s="15">
        <f>IF(A168="","",MIN($B$8,G167+E168-C168))</f>
        <v/>
      </c>
      <c r="G168" s="15">
        <f>IF(A168="","",MAX(0,G167-D168-F168))</f>
        <v/>
      </c>
    </row>
    <row r="169">
      <c r="A169" s="13">
        <f>IF(AND(ISNUMBER(G168),G168&gt;0.005),153,"")</f>
        <v/>
      </c>
      <c r="B169" s="14">
        <f>IF(A169="","",EDATE($B$7,152))</f>
        <v/>
      </c>
      <c r="C169" s="15">
        <f>IF(A169="","",MIN($B$9,G168+E169))</f>
        <v/>
      </c>
      <c r="D169" s="15">
        <f>IF(A169="","",C169-E169)</f>
        <v/>
      </c>
      <c r="E169" s="15">
        <f>IF(A169="","",G168*$B$5/12)</f>
        <v/>
      </c>
      <c r="F169" s="15">
        <f>IF(A169="","",MIN($B$8,G168+E169-C169))</f>
        <v/>
      </c>
      <c r="G169" s="15">
        <f>IF(A169="","",MAX(0,G168-D169-F169))</f>
        <v/>
      </c>
    </row>
    <row r="170">
      <c r="A170" s="13">
        <f>IF(AND(ISNUMBER(G169),G169&gt;0.005),154,"")</f>
        <v/>
      </c>
      <c r="B170" s="14">
        <f>IF(A170="","",EDATE($B$7,153))</f>
        <v/>
      </c>
      <c r="C170" s="15">
        <f>IF(A170="","",MIN($B$9,G169+E170))</f>
        <v/>
      </c>
      <c r="D170" s="15">
        <f>IF(A170="","",C170-E170)</f>
        <v/>
      </c>
      <c r="E170" s="15">
        <f>IF(A170="","",G169*$B$5/12)</f>
        <v/>
      </c>
      <c r="F170" s="15">
        <f>IF(A170="","",MIN($B$8,G169+E170-C170))</f>
        <v/>
      </c>
      <c r="G170" s="15">
        <f>IF(A170="","",MAX(0,G169-D170-F170))</f>
        <v/>
      </c>
    </row>
    <row r="171">
      <c r="A171" s="13">
        <f>IF(AND(ISNUMBER(G170),G170&gt;0.005),155,"")</f>
        <v/>
      </c>
      <c r="B171" s="14">
        <f>IF(A171="","",EDATE($B$7,154))</f>
        <v/>
      </c>
      <c r="C171" s="15">
        <f>IF(A171="","",MIN($B$9,G170+E171))</f>
        <v/>
      </c>
      <c r="D171" s="15">
        <f>IF(A171="","",C171-E171)</f>
        <v/>
      </c>
      <c r="E171" s="15">
        <f>IF(A171="","",G170*$B$5/12)</f>
        <v/>
      </c>
      <c r="F171" s="15">
        <f>IF(A171="","",MIN($B$8,G170+E171-C171))</f>
        <v/>
      </c>
      <c r="G171" s="15">
        <f>IF(A171="","",MAX(0,G170-D171-F171))</f>
        <v/>
      </c>
    </row>
    <row r="172">
      <c r="A172" s="13">
        <f>IF(AND(ISNUMBER(G171),G171&gt;0.005),156,"")</f>
        <v/>
      </c>
      <c r="B172" s="14">
        <f>IF(A172="","",EDATE($B$7,155))</f>
        <v/>
      </c>
      <c r="C172" s="15">
        <f>IF(A172="","",MIN($B$9,G171+E172))</f>
        <v/>
      </c>
      <c r="D172" s="15">
        <f>IF(A172="","",C172-E172)</f>
        <v/>
      </c>
      <c r="E172" s="15">
        <f>IF(A172="","",G171*$B$5/12)</f>
        <v/>
      </c>
      <c r="F172" s="15">
        <f>IF(A172="","",MIN($B$8,G171+E172-C172))</f>
        <v/>
      </c>
      <c r="G172" s="15">
        <f>IF(A172="","",MAX(0,G171-D172-F172))</f>
        <v/>
      </c>
    </row>
    <row r="173">
      <c r="A173" s="13">
        <f>IF(AND(ISNUMBER(G172),G172&gt;0.005),157,"")</f>
        <v/>
      </c>
      <c r="B173" s="14">
        <f>IF(A173="","",EDATE($B$7,156))</f>
        <v/>
      </c>
      <c r="C173" s="15">
        <f>IF(A173="","",MIN($B$9,G172+E173))</f>
        <v/>
      </c>
      <c r="D173" s="15">
        <f>IF(A173="","",C173-E173)</f>
        <v/>
      </c>
      <c r="E173" s="15">
        <f>IF(A173="","",G172*$B$5/12)</f>
        <v/>
      </c>
      <c r="F173" s="15">
        <f>IF(A173="","",MIN($B$8,G172+E173-C173))</f>
        <v/>
      </c>
      <c r="G173" s="15">
        <f>IF(A173="","",MAX(0,G172-D173-F173))</f>
        <v/>
      </c>
    </row>
    <row r="174">
      <c r="A174" s="13">
        <f>IF(AND(ISNUMBER(G173),G173&gt;0.005),158,"")</f>
        <v/>
      </c>
      <c r="B174" s="14">
        <f>IF(A174="","",EDATE($B$7,157))</f>
        <v/>
      </c>
      <c r="C174" s="15">
        <f>IF(A174="","",MIN($B$9,G173+E174))</f>
        <v/>
      </c>
      <c r="D174" s="15">
        <f>IF(A174="","",C174-E174)</f>
        <v/>
      </c>
      <c r="E174" s="15">
        <f>IF(A174="","",G173*$B$5/12)</f>
        <v/>
      </c>
      <c r="F174" s="15">
        <f>IF(A174="","",MIN($B$8,G173+E174-C174))</f>
        <v/>
      </c>
      <c r="G174" s="15">
        <f>IF(A174="","",MAX(0,G173-D174-F174))</f>
        <v/>
      </c>
    </row>
    <row r="175">
      <c r="A175" s="13">
        <f>IF(AND(ISNUMBER(G174),G174&gt;0.005),159,"")</f>
        <v/>
      </c>
      <c r="B175" s="14">
        <f>IF(A175="","",EDATE($B$7,158))</f>
        <v/>
      </c>
      <c r="C175" s="15">
        <f>IF(A175="","",MIN($B$9,G174+E175))</f>
        <v/>
      </c>
      <c r="D175" s="15">
        <f>IF(A175="","",C175-E175)</f>
        <v/>
      </c>
      <c r="E175" s="15">
        <f>IF(A175="","",G174*$B$5/12)</f>
        <v/>
      </c>
      <c r="F175" s="15">
        <f>IF(A175="","",MIN($B$8,G174+E175-C175))</f>
        <v/>
      </c>
      <c r="G175" s="15">
        <f>IF(A175="","",MAX(0,G174-D175-F175))</f>
        <v/>
      </c>
    </row>
    <row r="176">
      <c r="A176" s="13">
        <f>IF(AND(ISNUMBER(G175),G175&gt;0.005),160,"")</f>
        <v/>
      </c>
      <c r="B176" s="14">
        <f>IF(A176="","",EDATE($B$7,159))</f>
        <v/>
      </c>
      <c r="C176" s="15">
        <f>IF(A176="","",MIN($B$9,G175+E176))</f>
        <v/>
      </c>
      <c r="D176" s="15">
        <f>IF(A176="","",C176-E176)</f>
        <v/>
      </c>
      <c r="E176" s="15">
        <f>IF(A176="","",G175*$B$5/12)</f>
        <v/>
      </c>
      <c r="F176" s="15">
        <f>IF(A176="","",MIN($B$8,G175+E176-C176))</f>
        <v/>
      </c>
      <c r="G176" s="15">
        <f>IF(A176="","",MAX(0,G175-D176-F176))</f>
        <v/>
      </c>
    </row>
    <row r="177">
      <c r="A177" s="13">
        <f>IF(AND(ISNUMBER(G176),G176&gt;0.005),161,"")</f>
        <v/>
      </c>
      <c r="B177" s="14">
        <f>IF(A177="","",EDATE($B$7,160))</f>
        <v/>
      </c>
      <c r="C177" s="15">
        <f>IF(A177="","",MIN($B$9,G176+E177))</f>
        <v/>
      </c>
      <c r="D177" s="15">
        <f>IF(A177="","",C177-E177)</f>
        <v/>
      </c>
      <c r="E177" s="15">
        <f>IF(A177="","",G176*$B$5/12)</f>
        <v/>
      </c>
      <c r="F177" s="15">
        <f>IF(A177="","",MIN($B$8,G176+E177-C177))</f>
        <v/>
      </c>
      <c r="G177" s="15">
        <f>IF(A177="","",MAX(0,G176-D177-F177))</f>
        <v/>
      </c>
    </row>
    <row r="178">
      <c r="A178" s="13">
        <f>IF(AND(ISNUMBER(G177),G177&gt;0.005),162,"")</f>
        <v/>
      </c>
      <c r="B178" s="14">
        <f>IF(A178="","",EDATE($B$7,161))</f>
        <v/>
      </c>
      <c r="C178" s="15">
        <f>IF(A178="","",MIN($B$9,G177+E178))</f>
        <v/>
      </c>
      <c r="D178" s="15">
        <f>IF(A178="","",C178-E178)</f>
        <v/>
      </c>
      <c r="E178" s="15">
        <f>IF(A178="","",G177*$B$5/12)</f>
        <v/>
      </c>
      <c r="F178" s="15">
        <f>IF(A178="","",MIN($B$8,G177+E178-C178))</f>
        <v/>
      </c>
      <c r="G178" s="15">
        <f>IF(A178="","",MAX(0,G177-D178-F178))</f>
        <v/>
      </c>
    </row>
    <row r="179">
      <c r="A179" s="13">
        <f>IF(AND(ISNUMBER(G178),G178&gt;0.005),163,"")</f>
        <v/>
      </c>
      <c r="B179" s="14">
        <f>IF(A179="","",EDATE($B$7,162))</f>
        <v/>
      </c>
      <c r="C179" s="15">
        <f>IF(A179="","",MIN($B$9,G178+E179))</f>
        <v/>
      </c>
      <c r="D179" s="15">
        <f>IF(A179="","",C179-E179)</f>
        <v/>
      </c>
      <c r="E179" s="15">
        <f>IF(A179="","",G178*$B$5/12)</f>
        <v/>
      </c>
      <c r="F179" s="15">
        <f>IF(A179="","",MIN($B$8,G178+E179-C179))</f>
        <v/>
      </c>
      <c r="G179" s="15">
        <f>IF(A179="","",MAX(0,G178-D179-F179))</f>
        <v/>
      </c>
    </row>
    <row r="180">
      <c r="A180" s="13">
        <f>IF(AND(ISNUMBER(G179),G179&gt;0.005),164,"")</f>
        <v/>
      </c>
      <c r="B180" s="14">
        <f>IF(A180="","",EDATE($B$7,163))</f>
        <v/>
      </c>
      <c r="C180" s="15">
        <f>IF(A180="","",MIN($B$9,G179+E180))</f>
        <v/>
      </c>
      <c r="D180" s="15">
        <f>IF(A180="","",C180-E180)</f>
        <v/>
      </c>
      <c r="E180" s="15">
        <f>IF(A180="","",G179*$B$5/12)</f>
        <v/>
      </c>
      <c r="F180" s="15">
        <f>IF(A180="","",MIN($B$8,G179+E180-C180))</f>
        <v/>
      </c>
      <c r="G180" s="15">
        <f>IF(A180="","",MAX(0,G179-D180-F180))</f>
        <v/>
      </c>
    </row>
    <row r="181">
      <c r="A181" s="13">
        <f>IF(AND(ISNUMBER(G180),G180&gt;0.005),165,"")</f>
        <v/>
      </c>
      <c r="B181" s="14">
        <f>IF(A181="","",EDATE($B$7,164))</f>
        <v/>
      </c>
      <c r="C181" s="15">
        <f>IF(A181="","",MIN($B$9,G180+E181))</f>
        <v/>
      </c>
      <c r="D181" s="15">
        <f>IF(A181="","",C181-E181)</f>
        <v/>
      </c>
      <c r="E181" s="15">
        <f>IF(A181="","",G180*$B$5/12)</f>
        <v/>
      </c>
      <c r="F181" s="15">
        <f>IF(A181="","",MIN($B$8,G180+E181-C181))</f>
        <v/>
      </c>
      <c r="G181" s="15">
        <f>IF(A181="","",MAX(0,G180-D181-F181))</f>
        <v/>
      </c>
    </row>
    <row r="182">
      <c r="A182" s="13">
        <f>IF(AND(ISNUMBER(G181),G181&gt;0.005),166,"")</f>
        <v/>
      </c>
      <c r="B182" s="14">
        <f>IF(A182="","",EDATE($B$7,165))</f>
        <v/>
      </c>
      <c r="C182" s="15">
        <f>IF(A182="","",MIN($B$9,G181+E182))</f>
        <v/>
      </c>
      <c r="D182" s="15">
        <f>IF(A182="","",C182-E182)</f>
        <v/>
      </c>
      <c r="E182" s="15">
        <f>IF(A182="","",G181*$B$5/12)</f>
        <v/>
      </c>
      <c r="F182" s="15">
        <f>IF(A182="","",MIN($B$8,G181+E182-C182))</f>
        <v/>
      </c>
      <c r="G182" s="15">
        <f>IF(A182="","",MAX(0,G181-D182-F182))</f>
        <v/>
      </c>
    </row>
    <row r="183">
      <c r="A183" s="13">
        <f>IF(AND(ISNUMBER(G182),G182&gt;0.005),167,"")</f>
        <v/>
      </c>
      <c r="B183" s="14">
        <f>IF(A183="","",EDATE($B$7,166))</f>
        <v/>
      </c>
      <c r="C183" s="15">
        <f>IF(A183="","",MIN($B$9,G182+E183))</f>
        <v/>
      </c>
      <c r="D183" s="15">
        <f>IF(A183="","",C183-E183)</f>
        <v/>
      </c>
      <c r="E183" s="15">
        <f>IF(A183="","",G182*$B$5/12)</f>
        <v/>
      </c>
      <c r="F183" s="15">
        <f>IF(A183="","",MIN($B$8,G182+E183-C183))</f>
        <v/>
      </c>
      <c r="G183" s="15">
        <f>IF(A183="","",MAX(0,G182-D183-F183))</f>
        <v/>
      </c>
    </row>
    <row r="184">
      <c r="A184" s="13">
        <f>IF(AND(ISNUMBER(G183),G183&gt;0.005),168,"")</f>
        <v/>
      </c>
      <c r="B184" s="14">
        <f>IF(A184="","",EDATE($B$7,167))</f>
        <v/>
      </c>
      <c r="C184" s="15">
        <f>IF(A184="","",MIN($B$9,G183+E184))</f>
        <v/>
      </c>
      <c r="D184" s="15">
        <f>IF(A184="","",C184-E184)</f>
        <v/>
      </c>
      <c r="E184" s="15">
        <f>IF(A184="","",G183*$B$5/12)</f>
        <v/>
      </c>
      <c r="F184" s="15">
        <f>IF(A184="","",MIN($B$8,G183+E184-C184))</f>
        <v/>
      </c>
      <c r="G184" s="15">
        <f>IF(A184="","",MAX(0,G183-D184-F184))</f>
        <v/>
      </c>
    </row>
    <row r="185">
      <c r="A185" s="13">
        <f>IF(AND(ISNUMBER(G184),G184&gt;0.005),169,"")</f>
        <v/>
      </c>
      <c r="B185" s="14">
        <f>IF(A185="","",EDATE($B$7,168))</f>
        <v/>
      </c>
      <c r="C185" s="15">
        <f>IF(A185="","",MIN($B$9,G184+E185))</f>
        <v/>
      </c>
      <c r="D185" s="15">
        <f>IF(A185="","",C185-E185)</f>
        <v/>
      </c>
      <c r="E185" s="15">
        <f>IF(A185="","",G184*$B$5/12)</f>
        <v/>
      </c>
      <c r="F185" s="15">
        <f>IF(A185="","",MIN($B$8,G184+E185-C185))</f>
        <v/>
      </c>
      <c r="G185" s="15">
        <f>IF(A185="","",MAX(0,G184-D185-F185))</f>
        <v/>
      </c>
    </row>
    <row r="186">
      <c r="A186" s="13">
        <f>IF(AND(ISNUMBER(G185),G185&gt;0.005),170,"")</f>
        <v/>
      </c>
      <c r="B186" s="14">
        <f>IF(A186="","",EDATE($B$7,169))</f>
        <v/>
      </c>
      <c r="C186" s="15">
        <f>IF(A186="","",MIN($B$9,G185+E186))</f>
        <v/>
      </c>
      <c r="D186" s="15">
        <f>IF(A186="","",C186-E186)</f>
        <v/>
      </c>
      <c r="E186" s="15">
        <f>IF(A186="","",G185*$B$5/12)</f>
        <v/>
      </c>
      <c r="F186" s="15">
        <f>IF(A186="","",MIN($B$8,G185+E186-C186))</f>
        <v/>
      </c>
      <c r="G186" s="15">
        <f>IF(A186="","",MAX(0,G185-D186-F186))</f>
        <v/>
      </c>
    </row>
    <row r="187">
      <c r="A187" s="13">
        <f>IF(AND(ISNUMBER(G186),G186&gt;0.005),171,"")</f>
        <v/>
      </c>
      <c r="B187" s="14">
        <f>IF(A187="","",EDATE($B$7,170))</f>
        <v/>
      </c>
      <c r="C187" s="15">
        <f>IF(A187="","",MIN($B$9,G186+E187))</f>
        <v/>
      </c>
      <c r="D187" s="15">
        <f>IF(A187="","",C187-E187)</f>
        <v/>
      </c>
      <c r="E187" s="15">
        <f>IF(A187="","",G186*$B$5/12)</f>
        <v/>
      </c>
      <c r="F187" s="15">
        <f>IF(A187="","",MIN($B$8,G186+E187-C187))</f>
        <v/>
      </c>
      <c r="G187" s="15">
        <f>IF(A187="","",MAX(0,G186-D187-F187))</f>
        <v/>
      </c>
    </row>
    <row r="188">
      <c r="A188" s="13">
        <f>IF(AND(ISNUMBER(G187),G187&gt;0.005),172,"")</f>
        <v/>
      </c>
      <c r="B188" s="14">
        <f>IF(A188="","",EDATE($B$7,171))</f>
        <v/>
      </c>
      <c r="C188" s="15">
        <f>IF(A188="","",MIN($B$9,G187+E188))</f>
        <v/>
      </c>
      <c r="D188" s="15">
        <f>IF(A188="","",C188-E188)</f>
        <v/>
      </c>
      <c r="E188" s="15">
        <f>IF(A188="","",G187*$B$5/12)</f>
        <v/>
      </c>
      <c r="F188" s="15">
        <f>IF(A188="","",MIN($B$8,G187+E188-C188))</f>
        <v/>
      </c>
      <c r="G188" s="15">
        <f>IF(A188="","",MAX(0,G187-D188-F188))</f>
        <v/>
      </c>
    </row>
    <row r="189">
      <c r="A189" s="13">
        <f>IF(AND(ISNUMBER(G188),G188&gt;0.005),173,"")</f>
        <v/>
      </c>
      <c r="B189" s="14">
        <f>IF(A189="","",EDATE($B$7,172))</f>
        <v/>
      </c>
      <c r="C189" s="15">
        <f>IF(A189="","",MIN($B$9,G188+E189))</f>
        <v/>
      </c>
      <c r="D189" s="15">
        <f>IF(A189="","",C189-E189)</f>
        <v/>
      </c>
      <c r="E189" s="15">
        <f>IF(A189="","",G188*$B$5/12)</f>
        <v/>
      </c>
      <c r="F189" s="15">
        <f>IF(A189="","",MIN($B$8,G188+E189-C189))</f>
        <v/>
      </c>
      <c r="G189" s="15">
        <f>IF(A189="","",MAX(0,G188-D189-F189))</f>
        <v/>
      </c>
    </row>
    <row r="190">
      <c r="A190" s="13">
        <f>IF(AND(ISNUMBER(G189),G189&gt;0.005),174,"")</f>
        <v/>
      </c>
      <c r="B190" s="14">
        <f>IF(A190="","",EDATE($B$7,173))</f>
        <v/>
      </c>
      <c r="C190" s="15">
        <f>IF(A190="","",MIN($B$9,G189+E190))</f>
        <v/>
      </c>
      <c r="D190" s="15">
        <f>IF(A190="","",C190-E190)</f>
        <v/>
      </c>
      <c r="E190" s="15">
        <f>IF(A190="","",G189*$B$5/12)</f>
        <v/>
      </c>
      <c r="F190" s="15">
        <f>IF(A190="","",MIN($B$8,G189+E190-C190))</f>
        <v/>
      </c>
      <c r="G190" s="15">
        <f>IF(A190="","",MAX(0,G189-D190-F190))</f>
        <v/>
      </c>
    </row>
    <row r="191">
      <c r="A191" s="13">
        <f>IF(AND(ISNUMBER(G190),G190&gt;0.005),175,"")</f>
        <v/>
      </c>
      <c r="B191" s="14">
        <f>IF(A191="","",EDATE($B$7,174))</f>
        <v/>
      </c>
      <c r="C191" s="15">
        <f>IF(A191="","",MIN($B$9,G190+E191))</f>
        <v/>
      </c>
      <c r="D191" s="15">
        <f>IF(A191="","",C191-E191)</f>
        <v/>
      </c>
      <c r="E191" s="15">
        <f>IF(A191="","",G190*$B$5/12)</f>
        <v/>
      </c>
      <c r="F191" s="15">
        <f>IF(A191="","",MIN($B$8,G190+E191-C191))</f>
        <v/>
      </c>
      <c r="G191" s="15">
        <f>IF(A191="","",MAX(0,G190-D191-F191))</f>
        <v/>
      </c>
    </row>
    <row r="192">
      <c r="A192" s="13">
        <f>IF(AND(ISNUMBER(G191),G191&gt;0.005),176,"")</f>
        <v/>
      </c>
      <c r="B192" s="14">
        <f>IF(A192="","",EDATE($B$7,175))</f>
        <v/>
      </c>
      <c r="C192" s="15">
        <f>IF(A192="","",MIN($B$9,G191+E192))</f>
        <v/>
      </c>
      <c r="D192" s="15">
        <f>IF(A192="","",C192-E192)</f>
        <v/>
      </c>
      <c r="E192" s="15">
        <f>IF(A192="","",G191*$B$5/12)</f>
        <v/>
      </c>
      <c r="F192" s="15">
        <f>IF(A192="","",MIN($B$8,G191+E192-C192))</f>
        <v/>
      </c>
      <c r="G192" s="15">
        <f>IF(A192="","",MAX(0,G191-D192-F192))</f>
        <v/>
      </c>
    </row>
    <row r="193">
      <c r="A193" s="13">
        <f>IF(AND(ISNUMBER(G192),G192&gt;0.005),177,"")</f>
        <v/>
      </c>
      <c r="B193" s="14">
        <f>IF(A193="","",EDATE($B$7,176))</f>
        <v/>
      </c>
      <c r="C193" s="15">
        <f>IF(A193="","",MIN($B$9,G192+E193))</f>
        <v/>
      </c>
      <c r="D193" s="15">
        <f>IF(A193="","",C193-E193)</f>
        <v/>
      </c>
      <c r="E193" s="15">
        <f>IF(A193="","",G192*$B$5/12)</f>
        <v/>
      </c>
      <c r="F193" s="15">
        <f>IF(A193="","",MIN($B$8,G192+E193-C193))</f>
        <v/>
      </c>
      <c r="G193" s="15">
        <f>IF(A193="","",MAX(0,G192-D193-F193))</f>
        <v/>
      </c>
    </row>
    <row r="194">
      <c r="A194" s="13">
        <f>IF(AND(ISNUMBER(G193),G193&gt;0.005),178,"")</f>
        <v/>
      </c>
      <c r="B194" s="14">
        <f>IF(A194="","",EDATE($B$7,177))</f>
        <v/>
      </c>
      <c r="C194" s="15">
        <f>IF(A194="","",MIN($B$9,G193+E194))</f>
        <v/>
      </c>
      <c r="D194" s="15">
        <f>IF(A194="","",C194-E194)</f>
        <v/>
      </c>
      <c r="E194" s="15">
        <f>IF(A194="","",G193*$B$5/12)</f>
        <v/>
      </c>
      <c r="F194" s="15">
        <f>IF(A194="","",MIN($B$8,G193+E194-C194))</f>
        <v/>
      </c>
      <c r="G194" s="15">
        <f>IF(A194="","",MAX(0,G193-D194-F194))</f>
        <v/>
      </c>
    </row>
    <row r="195">
      <c r="A195" s="13">
        <f>IF(AND(ISNUMBER(G194),G194&gt;0.005),179,"")</f>
        <v/>
      </c>
      <c r="B195" s="14">
        <f>IF(A195="","",EDATE($B$7,178))</f>
        <v/>
      </c>
      <c r="C195" s="15">
        <f>IF(A195="","",MIN($B$9,G194+E195))</f>
        <v/>
      </c>
      <c r="D195" s="15">
        <f>IF(A195="","",C195-E195)</f>
        <v/>
      </c>
      <c r="E195" s="15">
        <f>IF(A195="","",G194*$B$5/12)</f>
        <v/>
      </c>
      <c r="F195" s="15">
        <f>IF(A195="","",MIN($B$8,G194+E195-C195))</f>
        <v/>
      </c>
      <c r="G195" s="15">
        <f>IF(A195="","",MAX(0,G194-D195-F195))</f>
        <v/>
      </c>
    </row>
    <row r="196">
      <c r="A196" s="13">
        <f>IF(AND(ISNUMBER(G195),G195&gt;0.005),180,"")</f>
        <v/>
      </c>
      <c r="B196" s="14">
        <f>IF(A196="","",EDATE($B$7,179))</f>
        <v/>
      </c>
      <c r="C196" s="15">
        <f>IF(A196="","",MIN($B$9,G195+E196))</f>
        <v/>
      </c>
      <c r="D196" s="15">
        <f>IF(A196="","",C196-E196)</f>
        <v/>
      </c>
      <c r="E196" s="15">
        <f>IF(A196="","",G195*$B$5/12)</f>
        <v/>
      </c>
      <c r="F196" s="15">
        <f>IF(A196="","",MIN($B$8,G195+E196-C196))</f>
        <v/>
      </c>
      <c r="G196" s="15">
        <f>IF(A196="","",MAX(0,G195-D196-F196))</f>
        <v/>
      </c>
    </row>
    <row r="197">
      <c r="A197" s="13">
        <f>IF(AND(ISNUMBER(G196),G196&gt;0.005),181,"")</f>
        <v/>
      </c>
      <c r="B197" s="14">
        <f>IF(A197="","",EDATE($B$7,180))</f>
        <v/>
      </c>
      <c r="C197" s="15">
        <f>IF(A197="","",MIN($B$9,G196+E197))</f>
        <v/>
      </c>
      <c r="D197" s="15">
        <f>IF(A197="","",C197-E197)</f>
        <v/>
      </c>
      <c r="E197" s="15">
        <f>IF(A197="","",G196*$B$5/12)</f>
        <v/>
      </c>
      <c r="F197" s="15">
        <f>IF(A197="","",MIN($B$8,G196+E197-C197))</f>
        <v/>
      </c>
      <c r="G197" s="15">
        <f>IF(A197="","",MAX(0,G196-D197-F197))</f>
        <v/>
      </c>
    </row>
    <row r="198">
      <c r="A198" s="13">
        <f>IF(AND(ISNUMBER(G197),G197&gt;0.005),182,"")</f>
        <v/>
      </c>
      <c r="B198" s="14">
        <f>IF(A198="","",EDATE($B$7,181))</f>
        <v/>
      </c>
      <c r="C198" s="15">
        <f>IF(A198="","",MIN($B$9,G197+E198))</f>
        <v/>
      </c>
      <c r="D198" s="15">
        <f>IF(A198="","",C198-E198)</f>
        <v/>
      </c>
      <c r="E198" s="15">
        <f>IF(A198="","",G197*$B$5/12)</f>
        <v/>
      </c>
      <c r="F198" s="15">
        <f>IF(A198="","",MIN($B$8,G197+E198-C198))</f>
        <v/>
      </c>
      <c r="G198" s="15">
        <f>IF(A198="","",MAX(0,G197-D198-F198))</f>
        <v/>
      </c>
    </row>
    <row r="199">
      <c r="A199" s="13">
        <f>IF(AND(ISNUMBER(G198),G198&gt;0.005),183,"")</f>
        <v/>
      </c>
      <c r="B199" s="14">
        <f>IF(A199="","",EDATE($B$7,182))</f>
        <v/>
      </c>
      <c r="C199" s="15">
        <f>IF(A199="","",MIN($B$9,G198+E199))</f>
        <v/>
      </c>
      <c r="D199" s="15">
        <f>IF(A199="","",C199-E199)</f>
        <v/>
      </c>
      <c r="E199" s="15">
        <f>IF(A199="","",G198*$B$5/12)</f>
        <v/>
      </c>
      <c r="F199" s="15">
        <f>IF(A199="","",MIN($B$8,G198+E199-C199))</f>
        <v/>
      </c>
      <c r="G199" s="15">
        <f>IF(A199="","",MAX(0,G198-D199-F199))</f>
        <v/>
      </c>
    </row>
    <row r="200">
      <c r="A200" s="13">
        <f>IF(AND(ISNUMBER(G199),G199&gt;0.005),184,"")</f>
        <v/>
      </c>
      <c r="B200" s="14">
        <f>IF(A200="","",EDATE($B$7,183))</f>
        <v/>
      </c>
      <c r="C200" s="15">
        <f>IF(A200="","",MIN($B$9,G199+E200))</f>
        <v/>
      </c>
      <c r="D200" s="15">
        <f>IF(A200="","",C200-E200)</f>
        <v/>
      </c>
      <c r="E200" s="15">
        <f>IF(A200="","",G199*$B$5/12)</f>
        <v/>
      </c>
      <c r="F200" s="15">
        <f>IF(A200="","",MIN($B$8,G199+E200-C200))</f>
        <v/>
      </c>
      <c r="G200" s="15">
        <f>IF(A200="","",MAX(0,G199-D200-F200))</f>
        <v/>
      </c>
    </row>
    <row r="201">
      <c r="A201" s="13">
        <f>IF(AND(ISNUMBER(G200),G200&gt;0.005),185,"")</f>
        <v/>
      </c>
      <c r="B201" s="14">
        <f>IF(A201="","",EDATE($B$7,184))</f>
        <v/>
      </c>
      <c r="C201" s="15">
        <f>IF(A201="","",MIN($B$9,G200+E201))</f>
        <v/>
      </c>
      <c r="D201" s="15">
        <f>IF(A201="","",C201-E201)</f>
        <v/>
      </c>
      <c r="E201" s="15">
        <f>IF(A201="","",G200*$B$5/12)</f>
        <v/>
      </c>
      <c r="F201" s="15">
        <f>IF(A201="","",MIN($B$8,G200+E201-C201))</f>
        <v/>
      </c>
      <c r="G201" s="15">
        <f>IF(A201="","",MAX(0,G200-D201-F201))</f>
        <v/>
      </c>
    </row>
    <row r="202">
      <c r="A202" s="13">
        <f>IF(AND(ISNUMBER(G201),G201&gt;0.005),186,"")</f>
        <v/>
      </c>
      <c r="B202" s="14">
        <f>IF(A202="","",EDATE($B$7,185))</f>
        <v/>
      </c>
      <c r="C202" s="15">
        <f>IF(A202="","",MIN($B$9,G201+E202))</f>
        <v/>
      </c>
      <c r="D202" s="15">
        <f>IF(A202="","",C202-E202)</f>
        <v/>
      </c>
      <c r="E202" s="15">
        <f>IF(A202="","",G201*$B$5/12)</f>
        <v/>
      </c>
      <c r="F202" s="15">
        <f>IF(A202="","",MIN($B$8,G201+E202-C202))</f>
        <v/>
      </c>
      <c r="G202" s="15">
        <f>IF(A202="","",MAX(0,G201-D202-F202))</f>
        <v/>
      </c>
    </row>
    <row r="203">
      <c r="A203" s="13">
        <f>IF(AND(ISNUMBER(G202),G202&gt;0.005),187,"")</f>
        <v/>
      </c>
      <c r="B203" s="14">
        <f>IF(A203="","",EDATE($B$7,186))</f>
        <v/>
      </c>
      <c r="C203" s="15">
        <f>IF(A203="","",MIN($B$9,G202+E203))</f>
        <v/>
      </c>
      <c r="D203" s="15">
        <f>IF(A203="","",C203-E203)</f>
        <v/>
      </c>
      <c r="E203" s="15">
        <f>IF(A203="","",G202*$B$5/12)</f>
        <v/>
      </c>
      <c r="F203" s="15">
        <f>IF(A203="","",MIN($B$8,G202+E203-C203))</f>
        <v/>
      </c>
      <c r="G203" s="15">
        <f>IF(A203="","",MAX(0,G202-D203-F203))</f>
        <v/>
      </c>
    </row>
    <row r="204">
      <c r="A204" s="13">
        <f>IF(AND(ISNUMBER(G203),G203&gt;0.005),188,"")</f>
        <v/>
      </c>
      <c r="B204" s="14">
        <f>IF(A204="","",EDATE($B$7,187))</f>
        <v/>
      </c>
      <c r="C204" s="15">
        <f>IF(A204="","",MIN($B$9,G203+E204))</f>
        <v/>
      </c>
      <c r="D204" s="15">
        <f>IF(A204="","",C204-E204)</f>
        <v/>
      </c>
      <c r="E204" s="15">
        <f>IF(A204="","",G203*$B$5/12)</f>
        <v/>
      </c>
      <c r="F204" s="15">
        <f>IF(A204="","",MIN($B$8,G203+E204-C204))</f>
        <v/>
      </c>
      <c r="G204" s="15">
        <f>IF(A204="","",MAX(0,G203-D204-F204))</f>
        <v/>
      </c>
    </row>
    <row r="205">
      <c r="A205" s="13">
        <f>IF(AND(ISNUMBER(G204),G204&gt;0.005),189,"")</f>
        <v/>
      </c>
      <c r="B205" s="14">
        <f>IF(A205="","",EDATE($B$7,188))</f>
        <v/>
      </c>
      <c r="C205" s="15">
        <f>IF(A205="","",MIN($B$9,G204+E205))</f>
        <v/>
      </c>
      <c r="D205" s="15">
        <f>IF(A205="","",C205-E205)</f>
        <v/>
      </c>
      <c r="E205" s="15">
        <f>IF(A205="","",G204*$B$5/12)</f>
        <v/>
      </c>
      <c r="F205" s="15">
        <f>IF(A205="","",MIN($B$8,G204+E205-C205))</f>
        <v/>
      </c>
      <c r="G205" s="15">
        <f>IF(A205="","",MAX(0,G204-D205-F205))</f>
        <v/>
      </c>
    </row>
    <row r="206">
      <c r="A206" s="13">
        <f>IF(AND(ISNUMBER(G205),G205&gt;0.005),190,"")</f>
        <v/>
      </c>
      <c r="B206" s="14">
        <f>IF(A206="","",EDATE($B$7,189))</f>
        <v/>
      </c>
      <c r="C206" s="15">
        <f>IF(A206="","",MIN($B$9,G205+E206))</f>
        <v/>
      </c>
      <c r="D206" s="15">
        <f>IF(A206="","",C206-E206)</f>
        <v/>
      </c>
      <c r="E206" s="15">
        <f>IF(A206="","",G205*$B$5/12)</f>
        <v/>
      </c>
      <c r="F206" s="15">
        <f>IF(A206="","",MIN($B$8,G205+E206-C206))</f>
        <v/>
      </c>
      <c r="G206" s="15">
        <f>IF(A206="","",MAX(0,G205-D206-F206))</f>
        <v/>
      </c>
    </row>
    <row r="207">
      <c r="A207" s="13">
        <f>IF(AND(ISNUMBER(G206),G206&gt;0.005),191,"")</f>
        <v/>
      </c>
      <c r="B207" s="14">
        <f>IF(A207="","",EDATE($B$7,190))</f>
        <v/>
      </c>
      <c r="C207" s="15">
        <f>IF(A207="","",MIN($B$9,G206+E207))</f>
        <v/>
      </c>
      <c r="D207" s="15">
        <f>IF(A207="","",C207-E207)</f>
        <v/>
      </c>
      <c r="E207" s="15">
        <f>IF(A207="","",G206*$B$5/12)</f>
        <v/>
      </c>
      <c r="F207" s="15">
        <f>IF(A207="","",MIN($B$8,G206+E207-C207))</f>
        <v/>
      </c>
      <c r="G207" s="15">
        <f>IF(A207="","",MAX(0,G206-D207-F207))</f>
        <v/>
      </c>
    </row>
    <row r="208">
      <c r="A208" s="13">
        <f>IF(AND(ISNUMBER(G207),G207&gt;0.005),192,"")</f>
        <v/>
      </c>
      <c r="B208" s="14">
        <f>IF(A208="","",EDATE($B$7,191))</f>
        <v/>
      </c>
      <c r="C208" s="15">
        <f>IF(A208="","",MIN($B$9,G207+E208))</f>
        <v/>
      </c>
      <c r="D208" s="15">
        <f>IF(A208="","",C208-E208)</f>
        <v/>
      </c>
      <c r="E208" s="15">
        <f>IF(A208="","",G207*$B$5/12)</f>
        <v/>
      </c>
      <c r="F208" s="15">
        <f>IF(A208="","",MIN($B$8,G207+E208-C208))</f>
        <v/>
      </c>
      <c r="G208" s="15">
        <f>IF(A208="","",MAX(0,G207-D208-F208))</f>
        <v/>
      </c>
    </row>
    <row r="209">
      <c r="A209" s="13">
        <f>IF(AND(ISNUMBER(G208),G208&gt;0.005),193,"")</f>
        <v/>
      </c>
      <c r="B209" s="14">
        <f>IF(A209="","",EDATE($B$7,192))</f>
        <v/>
      </c>
      <c r="C209" s="15">
        <f>IF(A209="","",MIN($B$9,G208+E209))</f>
        <v/>
      </c>
      <c r="D209" s="15">
        <f>IF(A209="","",C209-E209)</f>
        <v/>
      </c>
      <c r="E209" s="15">
        <f>IF(A209="","",G208*$B$5/12)</f>
        <v/>
      </c>
      <c r="F209" s="15">
        <f>IF(A209="","",MIN($B$8,G208+E209-C209))</f>
        <v/>
      </c>
      <c r="G209" s="15">
        <f>IF(A209="","",MAX(0,G208-D209-F209))</f>
        <v/>
      </c>
    </row>
    <row r="210">
      <c r="A210" s="13">
        <f>IF(AND(ISNUMBER(G209),G209&gt;0.005),194,"")</f>
        <v/>
      </c>
      <c r="B210" s="14">
        <f>IF(A210="","",EDATE($B$7,193))</f>
        <v/>
      </c>
      <c r="C210" s="15">
        <f>IF(A210="","",MIN($B$9,G209+E210))</f>
        <v/>
      </c>
      <c r="D210" s="15">
        <f>IF(A210="","",C210-E210)</f>
        <v/>
      </c>
      <c r="E210" s="15">
        <f>IF(A210="","",G209*$B$5/12)</f>
        <v/>
      </c>
      <c r="F210" s="15">
        <f>IF(A210="","",MIN($B$8,G209+E210-C210))</f>
        <v/>
      </c>
      <c r="G210" s="15">
        <f>IF(A210="","",MAX(0,G209-D210-F210))</f>
        <v/>
      </c>
    </row>
    <row r="211">
      <c r="A211" s="13">
        <f>IF(AND(ISNUMBER(G210),G210&gt;0.005),195,"")</f>
        <v/>
      </c>
      <c r="B211" s="14">
        <f>IF(A211="","",EDATE($B$7,194))</f>
        <v/>
      </c>
      <c r="C211" s="15">
        <f>IF(A211="","",MIN($B$9,G210+E211))</f>
        <v/>
      </c>
      <c r="D211" s="15">
        <f>IF(A211="","",C211-E211)</f>
        <v/>
      </c>
      <c r="E211" s="15">
        <f>IF(A211="","",G210*$B$5/12)</f>
        <v/>
      </c>
      <c r="F211" s="15">
        <f>IF(A211="","",MIN($B$8,G210+E211-C211))</f>
        <v/>
      </c>
      <c r="G211" s="15">
        <f>IF(A211="","",MAX(0,G210-D211-F211))</f>
        <v/>
      </c>
    </row>
    <row r="212">
      <c r="A212" s="13">
        <f>IF(AND(ISNUMBER(G211),G211&gt;0.005),196,"")</f>
        <v/>
      </c>
      <c r="B212" s="14">
        <f>IF(A212="","",EDATE($B$7,195))</f>
        <v/>
      </c>
      <c r="C212" s="15">
        <f>IF(A212="","",MIN($B$9,G211+E212))</f>
        <v/>
      </c>
      <c r="D212" s="15">
        <f>IF(A212="","",C212-E212)</f>
        <v/>
      </c>
      <c r="E212" s="15">
        <f>IF(A212="","",G211*$B$5/12)</f>
        <v/>
      </c>
      <c r="F212" s="15">
        <f>IF(A212="","",MIN($B$8,G211+E212-C212))</f>
        <v/>
      </c>
      <c r="G212" s="15">
        <f>IF(A212="","",MAX(0,G211-D212-F212))</f>
        <v/>
      </c>
    </row>
    <row r="213">
      <c r="A213" s="13">
        <f>IF(AND(ISNUMBER(G212),G212&gt;0.005),197,"")</f>
        <v/>
      </c>
      <c r="B213" s="14">
        <f>IF(A213="","",EDATE($B$7,196))</f>
        <v/>
      </c>
      <c r="C213" s="15">
        <f>IF(A213="","",MIN($B$9,G212+E213))</f>
        <v/>
      </c>
      <c r="D213" s="15">
        <f>IF(A213="","",C213-E213)</f>
        <v/>
      </c>
      <c r="E213" s="15">
        <f>IF(A213="","",G212*$B$5/12)</f>
        <v/>
      </c>
      <c r="F213" s="15">
        <f>IF(A213="","",MIN($B$8,G212+E213-C213))</f>
        <v/>
      </c>
      <c r="G213" s="15">
        <f>IF(A213="","",MAX(0,G212-D213-F213))</f>
        <v/>
      </c>
    </row>
    <row r="214">
      <c r="A214" s="13">
        <f>IF(AND(ISNUMBER(G213),G213&gt;0.005),198,"")</f>
        <v/>
      </c>
      <c r="B214" s="14">
        <f>IF(A214="","",EDATE($B$7,197))</f>
        <v/>
      </c>
      <c r="C214" s="15">
        <f>IF(A214="","",MIN($B$9,G213+E214))</f>
        <v/>
      </c>
      <c r="D214" s="15">
        <f>IF(A214="","",C214-E214)</f>
        <v/>
      </c>
      <c r="E214" s="15">
        <f>IF(A214="","",G213*$B$5/12)</f>
        <v/>
      </c>
      <c r="F214" s="15">
        <f>IF(A214="","",MIN($B$8,G213+E214-C214))</f>
        <v/>
      </c>
      <c r="G214" s="15">
        <f>IF(A214="","",MAX(0,G213-D214-F214))</f>
        <v/>
      </c>
    </row>
    <row r="215">
      <c r="A215" s="13">
        <f>IF(AND(ISNUMBER(G214),G214&gt;0.005),199,"")</f>
        <v/>
      </c>
      <c r="B215" s="14">
        <f>IF(A215="","",EDATE($B$7,198))</f>
        <v/>
      </c>
      <c r="C215" s="15">
        <f>IF(A215="","",MIN($B$9,G214+E215))</f>
        <v/>
      </c>
      <c r="D215" s="15">
        <f>IF(A215="","",C215-E215)</f>
        <v/>
      </c>
      <c r="E215" s="15">
        <f>IF(A215="","",G214*$B$5/12)</f>
        <v/>
      </c>
      <c r="F215" s="15">
        <f>IF(A215="","",MIN($B$8,G214+E215-C215))</f>
        <v/>
      </c>
      <c r="G215" s="15">
        <f>IF(A215="","",MAX(0,G214-D215-F215))</f>
        <v/>
      </c>
    </row>
    <row r="216">
      <c r="A216" s="13">
        <f>IF(AND(ISNUMBER(G215),G215&gt;0.005),200,"")</f>
        <v/>
      </c>
      <c r="B216" s="14">
        <f>IF(A216="","",EDATE($B$7,199))</f>
        <v/>
      </c>
      <c r="C216" s="15">
        <f>IF(A216="","",MIN($B$9,G215+E216))</f>
        <v/>
      </c>
      <c r="D216" s="15">
        <f>IF(A216="","",C216-E216)</f>
        <v/>
      </c>
      <c r="E216" s="15">
        <f>IF(A216="","",G215*$B$5/12)</f>
        <v/>
      </c>
      <c r="F216" s="15">
        <f>IF(A216="","",MIN($B$8,G215+E216-C216))</f>
        <v/>
      </c>
      <c r="G216" s="15">
        <f>IF(A216="","",MAX(0,G215-D216-F216))</f>
        <v/>
      </c>
    </row>
    <row r="217">
      <c r="A217" s="13">
        <f>IF(AND(ISNUMBER(G216),G216&gt;0.005),201,"")</f>
        <v/>
      </c>
      <c r="B217" s="14">
        <f>IF(A217="","",EDATE($B$7,200))</f>
        <v/>
      </c>
      <c r="C217" s="15">
        <f>IF(A217="","",MIN($B$9,G216+E217))</f>
        <v/>
      </c>
      <c r="D217" s="15">
        <f>IF(A217="","",C217-E217)</f>
        <v/>
      </c>
      <c r="E217" s="15">
        <f>IF(A217="","",G216*$B$5/12)</f>
        <v/>
      </c>
      <c r="F217" s="15">
        <f>IF(A217="","",MIN($B$8,G216+E217-C217))</f>
        <v/>
      </c>
      <c r="G217" s="15">
        <f>IF(A217="","",MAX(0,G216-D217-F217))</f>
        <v/>
      </c>
    </row>
    <row r="218">
      <c r="A218" s="13">
        <f>IF(AND(ISNUMBER(G217),G217&gt;0.005),202,"")</f>
        <v/>
      </c>
      <c r="B218" s="14">
        <f>IF(A218="","",EDATE($B$7,201))</f>
        <v/>
      </c>
      <c r="C218" s="15">
        <f>IF(A218="","",MIN($B$9,G217+E218))</f>
        <v/>
      </c>
      <c r="D218" s="15">
        <f>IF(A218="","",C218-E218)</f>
        <v/>
      </c>
      <c r="E218" s="15">
        <f>IF(A218="","",G217*$B$5/12)</f>
        <v/>
      </c>
      <c r="F218" s="15">
        <f>IF(A218="","",MIN($B$8,G217+E218-C218))</f>
        <v/>
      </c>
      <c r="G218" s="15">
        <f>IF(A218="","",MAX(0,G217-D218-F218))</f>
        <v/>
      </c>
    </row>
    <row r="219">
      <c r="A219" s="13">
        <f>IF(AND(ISNUMBER(G218),G218&gt;0.005),203,"")</f>
        <v/>
      </c>
      <c r="B219" s="14">
        <f>IF(A219="","",EDATE($B$7,202))</f>
        <v/>
      </c>
      <c r="C219" s="15">
        <f>IF(A219="","",MIN($B$9,G218+E219))</f>
        <v/>
      </c>
      <c r="D219" s="15">
        <f>IF(A219="","",C219-E219)</f>
        <v/>
      </c>
      <c r="E219" s="15">
        <f>IF(A219="","",G218*$B$5/12)</f>
        <v/>
      </c>
      <c r="F219" s="15">
        <f>IF(A219="","",MIN($B$8,G218+E219-C219))</f>
        <v/>
      </c>
      <c r="G219" s="15">
        <f>IF(A219="","",MAX(0,G218-D219-F219))</f>
        <v/>
      </c>
    </row>
    <row r="220">
      <c r="A220" s="13">
        <f>IF(AND(ISNUMBER(G219),G219&gt;0.005),204,"")</f>
        <v/>
      </c>
      <c r="B220" s="14">
        <f>IF(A220="","",EDATE($B$7,203))</f>
        <v/>
      </c>
      <c r="C220" s="15">
        <f>IF(A220="","",MIN($B$9,G219+E220))</f>
        <v/>
      </c>
      <c r="D220" s="15">
        <f>IF(A220="","",C220-E220)</f>
        <v/>
      </c>
      <c r="E220" s="15">
        <f>IF(A220="","",G219*$B$5/12)</f>
        <v/>
      </c>
      <c r="F220" s="15">
        <f>IF(A220="","",MIN($B$8,G219+E220-C220))</f>
        <v/>
      </c>
      <c r="G220" s="15">
        <f>IF(A220="","",MAX(0,G219-D220-F220))</f>
        <v/>
      </c>
    </row>
    <row r="221">
      <c r="A221" s="13">
        <f>IF(AND(ISNUMBER(G220),G220&gt;0.005),205,"")</f>
        <v/>
      </c>
      <c r="B221" s="14">
        <f>IF(A221="","",EDATE($B$7,204))</f>
        <v/>
      </c>
      <c r="C221" s="15">
        <f>IF(A221="","",MIN($B$9,G220+E221))</f>
        <v/>
      </c>
      <c r="D221" s="15">
        <f>IF(A221="","",C221-E221)</f>
        <v/>
      </c>
      <c r="E221" s="15">
        <f>IF(A221="","",G220*$B$5/12)</f>
        <v/>
      </c>
      <c r="F221" s="15">
        <f>IF(A221="","",MIN($B$8,G220+E221-C221))</f>
        <v/>
      </c>
      <c r="G221" s="15">
        <f>IF(A221="","",MAX(0,G220-D221-F221))</f>
        <v/>
      </c>
    </row>
    <row r="222">
      <c r="A222" s="13">
        <f>IF(AND(ISNUMBER(G221),G221&gt;0.005),206,"")</f>
        <v/>
      </c>
      <c r="B222" s="14">
        <f>IF(A222="","",EDATE($B$7,205))</f>
        <v/>
      </c>
      <c r="C222" s="15">
        <f>IF(A222="","",MIN($B$9,G221+E222))</f>
        <v/>
      </c>
      <c r="D222" s="15">
        <f>IF(A222="","",C222-E222)</f>
        <v/>
      </c>
      <c r="E222" s="15">
        <f>IF(A222="","",G221*$B$5/12)</f>
        <v/>
      </c>
      <c r="F222" s="15">
        <f>IF(A222="","",MIN($B$8,G221+E222-C222))</f>
        <v/>
      </c>
      <c r="G222" s="15">
        <f>IF(A222="","",MAX(0,G221-D222-F222))</f>
        <v/>
      </c>
    </row>
    <row r="223">
      <c r="A223" s="13">
        <f>IF(AND(ISNUMBER(G222),G222&gt;0.005),207,"")</f>
        <v/>
      </c>
      <c r="B223" s="14">
        <f>IF(A223="","",EDATE($B$7,206))</f>
        <v/>
      </c>
      <c r="C223" s="15">
        <f>IF(A223="","",MIN($B$9,G222+E223))</f>
        <v/>
      </c>
      <c r="D223" s="15">
        <f>IF(A223="","",C223-E223)</f>
        <v/>
      </c>
      <c r="E223" s="15">
        <f>IF(A223="","",G222*$B$5/12)</f>
        <v/>
      </c>
      <c r="F223" s="15">
        <f>IF(A223="","",MIN($B$8,G222+E223-C223))</f>
        <v/>
      </c>
      <c r="G223" s="15">
        <f>IF(A223="","",MAX(0,G222-D223-F223))</f>
        <v/>
      </c>
    </row>
    <row r="224">
      <c r="A224" s="13">
        <f>IF(AND(ISNUMBER(G223),G223&gt;0.005),208,"")</f>
        <v/>
      </c>
      <c r="B224" s="14">
        <f>IF(A224="","",EDATE($B$7,207))</f>
        <v/>
      </c>
      <c r="C224" s="15">
        <f>IF(A224="","",MIN($B$9,G223+E224))</f>
        <v/>
      </c>
      <c r="D224" s="15">
        <f>IF(A224="","",C224-E224)</f>
        <v/>
      </c>
      <c r="E224" s="15">
        <f>IF(A224="","",G223*$B$5/12)</f>
        <v/>
      </c>
      <c r="F224" s="15">
        <f>IF(A224="","",MIN($B$8,G223+E224-C224))</f>
        <v/>
      </c>
      <c r="G224" s="15">
        <f>IF(A224="","",MAX(0,G223-D224-F224))</f>
        <v/>
      </c>
    </row>
    <row r="225">
      <c r="A225" s="13">
        <f>IF(AND(ISNUMBER(G224),G224&gt;0.005),209,"")</f>
        <v/>
      </c>
      <c r="B225" s="14">
        <f>IF(A225="","",EDATE($B$7,208))</f>
        <v/>
      </c>
      <c r="C225" s="15">
        <f>IF(A225="","",MIN($B$9,G224+E225))</f>
        <v/>
      </c>
      <c r="D225" s="15">
        <f>IF(A225="","",C225-E225)</f>
        <v/>
      </c>
      <c r="E225" s="15">
        <f>IF(A225="","",G224*$B$5/12)</f>
        <v/>
      </c>
      <c r="F225" s="15">
        <f>IF(A225="","",MIN($B$8,G224+E225-C225))</f>
        <v/>
      </c>
      <c r="G225" s="15">
        <f>IF(A225="","",MAX(0,G224-D225-F225))</f>
        <v/>
      </c>
    </row>
    <row r="226">
      <c r="A226" s="13">
        <f>IF(AND(ISNUMBER(G225),G225&gt;0.005),210,"")</f>
        <v/>
      </c>
      <c r="B226" s="14">
        <f>IF(A226="","",EDATE($B$7,209))</f>
        <v/>
      </c>
      <c r="C226" s="15">
        <f>IF(A226="","",MIN($B$9,G225+E226))</f>
        <v/>
      </c>
      <c r="D226" s="15">
        <f>IF(A226="","",C226-E226)</f>
        <v/>
      </c>
      <c r="E226" s="15">
        <f>IF(A226="","",G225*$B$5/12)</f>
        <v/>
      </c>
      <c r="F226" s="15">
        <f>IF(A226="","",MIN($B$8,G225+E226-C226))</f>
        <v/>
      </c>
      <c r="G226" s="15">
        <f>IF(A226="","",MAX(0,G225-D226-F226))</f>
        <v/>
      </c>
    </row>
    <row r="227">
      <c r="A227" s="13">
        <f>IF(AND(ISNUMBER(G226),G226&gt;0.005),211,"")</f>
        <v/>
      </c>
      <c r="B227" s="14">
        <f>IF(A227="","",EDATE($B$7,210))</f>
        <v/>
      </c>
      <c r="C227" s="15">
        <f>IF(A227="","",MIN($B$9,G226+E227))</f>
        <v/>
      </c>
      <c r="D227" s="15">
        <f>IF(A227="","",C227-E227)</f>
        <v/>
      </c>
      <c r="E227" s="15">
        <f>IF(A227="","",G226*$B$5/12)</f>
        <v/>
      </c>
      <c r="F227" s="15">
        <f>IF(A227="","",MIN($B$8,G226+E227-C227))</f>
        <v/>
      </c>
      <c r="G227" s="15">
        <f>IF(A227="","",MAX(0,G226-D227-F227))</f>
        <v/>
      </c>
    </row>
    <row r="228">
      <c r="A228" s="13">
        <f>IF(AND(ISNUMBER(G227),G227&gt;0.005),212,"")</f>
        <v/>
      </c>
      <c r="B228" s="14">
        <f>IF(A228="","",EDATE($B$7,211))</f>
        <v/>
      </c>
      <c r="C228" s="15">
        <f>IF(A228="","",MIN($B$9,G227+E228))</f>
        <v/>
      </c>
      <c r="D228" s="15">
        <f>IF(A228="","",C228-E228)</f>
        <v/>
      </c>
      <c r="E228" s="15">
        <f>IF(A228="","",G227*$B$5/12)</f>
        <v/>
      </c>
      <c r="F228" s="15">
        <f>IF(A228="","",MIN($B$8,G227+E228-C228))</f>
        <v/>
      </c>
      <c r="G228" s="15">
        <f>IF(A228="","",MAX(0,G227-D228-F228))</f>
        <v/>
      </c>
    </row>
    <row r="229">
      <c r="A229" s="13">
        <f>IF(AND(ISNUMBER(G228),G228&gt;0.005),213,"")</f>
        <v/>
      </c>
      <c r="B229" s="14">
        <f>IF(A229="","",EDATE($B$7,212))</f>
        <v/>
      </c>
      <c r="C229" s="15">
        <f>IF(A229="","",MIN($B$9,G228+E229))</f>
        <v/>
      </c>
      <c r="D229" s="15">
        <f>IF(A229="","",C229-E229)</f>
        <v/>
      </c>
      <c r="E229" s="15">
        <f>IF(A229="","",G228*$B$5/12)</f>
        <v/>
      </c>
      <c r="F229" s="15">
        <f>IF(A229="","",MIN($B$8,G228+E229-C229))</f>
        <v/>
      </c>
      <c r="G229" s="15">
        <f>IF(A229="","",MAX(0,G228-D229-F229))</f>
        <v/>
      </c>
    </row>
    <row r="230">
      <c r="A230" s="13">
        <f>IF(AND(ISNUMBER(G229),G229&gt;0.005),214,"")</f>
        <v/>
      </c>
      <c r="B230" s="14">
        <f>IF(A230="","",EDATE($B$7,213))</f>
        <v/>
      </c>
      <c r="C230" s="15">
        <f>IF(A230="","",MIN($B$9,G229+E230))</f>
        <v/>
      </c>
      <c r="D230" s="15">
        <f>IF(A230="","",C230-E230)</f>
        <v/>
      </c>
      <c r="E230" s="15">
        <f>IF(A230="","",G229*$B$5/12)</f>
        <v/>
      </c>
      <c r="F230" s="15">
        <f>IF(A230="","",MIN($B$8,G229+E230-C230))</f>
        <v/>
      </c>
      <c r="G230" s="15">
        <f>IF(A230="","",MAX(0,G229-D230-F230))</f>
        <v/>
      </c>
    </row>
    <row r="231">
      <c r="A231" s="13">
        <f>IF(AND(ISNUMBER(G230),G230&gt;0.005),215,"")</f>
        <v/>
      </c>
      <c r="B231" s="14">
        <f>IF(A231="","",EDATE($B$7,214))</f>
        <v/>
      </c>
      <c r="C231" s="15">
        <f>IF(A231="","",MIN($B$9,G230+E231))</f>
        <v/>
      </c>
      <c r="D231" s="15">
        <f>IF(A231="","",C231-E231)</f>
        <v/>
      </c>
      <c r="E231" s="15">
        <f>IF(A231="","",G230*$B$5/12)</f>
        <v/>
      </c>
      <c r="F231" s="15">
        <f>IF(A231="","",MIN($B$8,G230+E231-C231))</f>
        <v/>
      </c>
      <c r="G231" s="15">
        <f>IF(A231="","",MAX(0,G230-D231-F231))</f>
        <v/>
      </c>
    </row>
    <row r="232">
      <c r="A232" s="13">
        <f>IF(AND(ISNUMBER(G231),G231&gt;0.005),216,"")</f>
        <v/>
      </c>
      <c r="B232" s="14">
        <f>IF(A232="","",EDATE($B$7,215))</f>
        <v/>
      </c>
      <c r="C232" s="15">
        <f>IF(A232="","",MIN($B$9,G231+E232))</f>
        <v/>
      </c>
      <c r="D232" s="15">
        <f>IF(A232="","",C232-E232)</f>
        <v/>
      </c>
      <c r="E232" s="15">
        <f>IF(A232="","",G231*$B$5/12)</f>
        <v/>
      </c>
      <c r="F232" s="15">
        <f>IF(A232="","",MIN($B$8,G231+E232-C232))</f>
        <v/>
      </c>
      <c r="G232" s="15">
        <f>IF(A232="","",MAX(0,G231-D232-F232))</f>
        <v/>
      </c>
    </row>
    <row r="233">
      <c r="A233" s="13">
        <f>IF(AND(ISNUMBER(G232),G232&gt;0.005),217,"")</f>
        <v/>
      </c>
      <c r="B233" s="14">
        <f>IF(A233="","",EDATE($B$7,216))</f>
        <v/>
      </c>
      <c r="C233" s="15">
        <f>IF(A233="","",MIN($B$9,G232+E233))</f>
        <v/>
      </c>
      <c r="D233" s="15">
        <f>IF(A233="","",C233-E233)</f>
        <v/>
      </c>
      <c r="E233" s="15">
        <f>IF(A233="","",G232*$B$5/12)</f>
        <v/>
      </c>
      <c r="F233" s="15">
        <f>IF(A233="","",MIN($B$8,G232+E233-C233))</f>
        <v/>
      </c>
      <c r="G233" s="15">
        <f>IF(A233="","",MAX(0,G232-D233-F233))</f>
        <v/>
      </c>
    </row>
    <row r="234">
      <c r="A234" s="13">
        <f>IF(AND(ISNUMBER(G233),G233&gt;0.005),218,"")</f>
        <v/>
      </c>
      <c r="B234" s="14">
        <f>IF(A234="","",EDATE($B$7,217))</f>
        <v/>
      </c>
      <c r="C234" s="15">
        <f>IF(A234="","",MIN($B$9,G233+E234))</f>
        <v/>
      </c>
      <c r="D234" s="15">
        <f>IF(A234="","",C234-E234)</f>
        <v/>
      </c>
      <c r="E234" s="15">
        <f>IF(A234="","",G233*$B$5/12)</f>
        <v/>
      </c>
      <c r="F234" s="15">
        <f>IF(A234="","",MIN($B$8,G233+E234-C234))</f>
        <v/>
      </c>
      <c r="G234" s="15">
        <f>IF(A234="","",MAX(0,G233-D234-F234))</f>
        <v/>
      </c>
    </row>
    <row r="235">
      <c r="A235" s="13">
        <f>IF(AND(ISNUMBER(G234),G234&gt;0.005),219,"")</f>
        <v/>
      </c>
      <c r="B235" s="14">
        <f>IF(A235="","",EDATE($B$7,218))</f>
        <v/>
      </c>
      <c r="C235" s="15">
        <f>IF(A235="","",MIN($B$9,G234+E235))</f>
        <v/>
      </c>
      <c r="D235" s="15">
        <f>IF(A235="","",C235-E235)</f>
        <v/>
      </c>
      <c r="E235" s="15">
        <f>IF(A235="","",G234*$B$5/12)</f>
        <v/>
      </c>
      <c r="F235" s="15">
        <f>IF(A235="","",MIN($B$8,G234+E235-C235))</f>
        <v/>
      </c>
      <c r="G235" s="15">
        <f>IF(A235="","",MAX(0,G234-D235-F235))</f>
        <v/>
      </c>
    </row>
    <row r="236">
      <c r="A236" s="13">
        <f>IF(AND(ISNUMBER(G235),G235&gt;0.005),220,"")</f>
        <v/>
      </c>
      <c r="B236" s="14">
        <f>IF(A236="","",EDATE($B$7,219))</f>
        <v/>
      </c>
      <c r="C236" s="15">
        <f>IF(A236="","",MIN($B$9,G235+E236))</f>
        <v/>
      </c>
      <c r="D236" s="15">
        <f>IF(A236="","",C236-E236)</f>
        <v/>
      </c>
      <c r="E236" s="15">
        <f>IF(A236="","",G235*$B$5/12)</f>
        <v/>
      </c>
      <c r="F236" s="15">
        <f>IF(A236="","",MIN($B$8,G235+E236-C236))</f>
        <v/>
      </c>
      <c r="G236" s="15">
        <f>IF(A236="","",MAX(0,G235-D236-F236))</f>
        <v/>
      </c>
    </row>
    <row r="237">
      <c r="A237" s="13">
        <f>IF(AND(ISNUMBER(G236),G236&gt;0.005),221,"")</f>
        <v/>
      </c>
      <c r="B237" s="14">
        <f>IF(A237="","",EDATE($B$7,220))</f>
        <v/>
      </c>
      <c r="C237" s="15">
        <f>IF(A237="","",MIN($B$9,G236+E237))</f>
        <v/>
      </c>
      <c r="D237" s="15">
        <f>IF(A237="","",C237-E237)</f>
        <v/>
      </c>
      <c r="E237" s="15">
        <f>IF(A237="","",G236*$B$5/12)</f>
        <v/>
      </c>
      <c r="F237" s="15">
        <f>IF(A237="","",MIN($B$8,G236+E237-C237))</f>
        <v/>
      </c>
      <c r="G237" s="15">
        <f>IF(A237="","",MAX(0,G236-D237-F237))</f>
        <v/>
      </c>
    </row>
    <row r="238">
      <c r="A238" s="13">
        <f>IF(AND(ISNUMBER(G237),G237&gt;0.005),222,"")</f>
        <v/>
      </c>
      <c r="B238" s="14">
        <f>IF(A238="","",EDATE($B$7,221))</f>
        <v/>
      </c>
      <c r="C238" s="15">
        <f>IF(A238="","",MIN($B$9,G237+E238))</f>
        <v/>
      </c>
      <c r="D238" s="15">
        <f>IF(A238="","",C238-E238)</f>
        <v/>
      </c>
      <c r="E238" s="15">
        <f>IF(A238="","",G237*$B$5/12)</f>
        <v/>
      </c>
      <c r="F238" s="15">
        <f>IF(A238="","",MIN($B$8,G237+E238-C238))</f>
        <v/>
      </c>
      <c r="G238" s="15">
        <f>IF(A238="","",MAX(0,G237-D238-F238))</f>
        <v/>
      </c>
    </row>
    <row r="239">
      <c r="A239" s="13">
        <f>IF(AND(ISNUMBER(G238),G238&gt;0.005),223,"")</f>
        <v/>
      </c>
      <c r="B239" s="14">
        <f>IF(A239="","",EDATE($B$7,222))</f>
        <v/>
      </c>
      <c r="C239" s="15">
        <f>IF(A239="","",MIN($B$9,G238+E239))</f>
        <v/>
      </c>
      <c r="D239" s="15">
        <f>IF(A239="","",C239-E239)</f>
        <v/>
      </c>
      <c r="E239" s="15">
        <f>IF(A239="","",G238*$B$5/12)</f>
        <v/>
      </c>
      <c r="F239" s="15">
        <f>IF(A239="","",MIN($B$8,G238+E239-C239))</f>
        <v/>
      </c>
      <c r="G239" s="15">
        <f>IF(A239="","",MAX(0,G238-D239-F239))</f>
        <v/>
      </c>
    </row>
    <row r="240">
      <c r="A240" s="13">
        <f>IF(AND(ISNUMBER(G239),G239&gt;0.005),224,"")</f>
        <v/>
      </c>
      <c r="B240" s="14">
        <f>IF(A240="","",EDATE($B$7,223))</f>
        <v/>
      </c>
      <c r="C240" s="15">
        <f>IF(A240="","",MIN($B$9,G239+E240))</f>
        <v/>
      </c>
      <c r="D240" s="15">
        <f>IF(A240="","",C240-E240)</f>
        <v/>
      </c>
      <c r="E240" s="15">
        <f>IF(A240="","",G239*$B$5/12)</f>
        <v/>
      </c>
      <c r="F240" s="15">
        <f>IF(A240="","",MIN($B$8,G239+E240-C240))</f>
        <v/>
      </c>
      <c r="G240" s="15">
        <f>IF(A240="","",MAX(0,G239-D240-F240))</f>
        <v/>
      </c>
    </row>
    <row r="241">
      <c r="A241" s="13">
        <f>IF(AND(ISNUMBER(G240),G240&gt;0.005),225,"")</f>
        <v/>
      </c>
      <c r="B241" s="14">
        <f>IF(A241="","",EDATE($B$7,224))</f>
        <v/>
      </c>
      <c r="C241" s="15">
        <f>IF(A241="","",MIN($B$9,G240+E241))</f>
        <v/>
      </c>
      <c r="D241" s="15">
        <f>IF(A241="","",C241-E241)</f>
        <v/>
      </c>
      <c r="E241" s="15">
        <f>IF(A241="","",G240*$B$5/12)</f>
        <v/>
      </c>
      <c r="F241" s="15">
        <f>IF(A241="","",MIN($B$8,G240+E241-C241))</f>
        <v/>
      </c>
      <c r="G241" s="15">
        <f>IF(A241="","",MAX(0,G240-D241-F241))</f>
        <v/>
      </c>
    </row>
    <row r="242">
      <c r="A242" s="13">
        <f>IF(AND(ISNUMBER(G241),G241&gt;0.005),226,"")</f>
        <v/>
      </c>
      <c r="B242" s="14">
        <f>IF(A242="","",EDATE($B$7,225))</f>
        <v/>
      </c>
      <c r="C242" s="15">
        <f>IF(A242="","",MIN($B$9,G241+E242))</f>
        <v/>
      </c>
      <c r="D242" s="15">
        <f>IF(A242="","",C242-E242)</f>
        <v/>
      </c>
      <c r="E242" s="15">
        <f>IF(A242="","",G241*$B$5/12)</f>
        <v/>
      </c>
      <c r="F242" s="15">
        <f>IF(A242="","",MIN($B$8,G241+E242-C242))</f>
        <v/>
      </c>
      <c r="G242" s="15">
        <f>IF(A242="","",MAX(0,G241-D242-F242))</f>
        <v/>
      </c>
    </row>
    <row r="243">
      <c r="A243" s="13">
        <f>IF(AND(ISNUMBER(G242),G242&gt;0.005),227,"")</f>
        <v/>
      </c>
      <c r="B243" s="14">
        <f>IF(A243="","",EDATE($B$7,226))</f>
        <v/>
      </c>
      <c r="C243" s="15">
        <f>IF(A243="","",MIN($B$9,G242+E243))</f>
        <v/>
      </c>
      <c r="D243" s="15">
        <f>IF(A243="","",C243-E243)</f>
        <v/>
      </c>
      <c r="E243" s="15">
        <f>IF(A243="","",G242*$B$5/12)</f>
        <v/>
      </c>
      <c r="F243" s="15">
        <f>IF(A243="","",MIN($B$8,G242+E243-C243))</f>
        <v/>
      </c>
      <c r="G243" s="15">
        <f>IF(A243="","",MAX(0,G242-D243-F243))</f>
        <v/>
      </c>
    </row>
    <row r="244">
      <c r="A244" s="13">
        <f>IF(AND(ISNUMBER(G243),G243&gt;0.005),228,"")</f>
        <v/>
      </c>
      <c r="B244" s="14">
        <f>IF(A244="","",EDATE($B$7,227))</f>
        <v/>
      </c>
      <c r="C244" s="15">
        <f>IF(A244="","",MIN($B$9,G243+E244))</f>
        <v/>
      </c>
      <c r="D244" s="15">
        <f>IF(A244="","",C244-E244)</f>
        <v/>
      </c>
      <c r="E244" s="15">
        <f>IF(A244="","",G243*$B$5/12)</f>
        <v/>
      </c>
      <c r="F244" s="15">
        <f>IF(A244="","",MIN($B$8,G243+E244-C244))</f>
        <v/>
      </c>
      <c r="G244" s="15">
        <f>IF(A244="","",MAX(0,G243-D244-F244))</f>
        <v/>
      </c>
    </row>
    <row r="245">
      <c r="A245" s="13">
        <f>IF(AND(ISNUMBER(G244),G244&gt;0.005),229,"")</f>
        <v/>
      </c>
      <c r="B245" s="14">
        <f>IF(A245="","",EDATE($B$7,228))</f>
        <v/>
      </c>
      <c r="C245" s="15">
        <f>IF(A245="","",MIN($B$9,G244+E245))</f>
        <v/>
      </c>
      <c r="D245" s="15">
        <f>IF(A245="","",C245-E245)</f>
        <v/>
      </c>
      <c r="E245" s="15">
        <f>IF(A245="","",G244*$B$5/12)</f>
        <v/>
      </c>
      <c r="F245" s="15">
        <f>IF(A245="","",MIN($B$8,G244+E245-C245))</f>
        <v/>
      </c>
      <c r="G245" s="15">
        <f>IF(A245="","",MAX(0,G244-D245-F245))</f>
        <v/>
      </c>
    </row>
    <row r="246">
      <c r="A246" s="13">
        <f>IF(AND(ISNUMBER(G245),G245&gt;0.005),230,"")</f>
        <v/>
      </c>
      <c r="B246" s="14">
        <f>IF(A246="","",EDATE($B$7,229))</f>
        <v/>
      </c>
      <c r="C246" s="15">
        <f>IF(A246="","",MIN($B$9,G245+E246))</f>
        <v/>
      </c>
      <c r="D246" s="15">
        <f>IF(A246="","",C246-E246)</f>
        <v/>
      </c>
      <c r="E246" s="15">
        <f>IF(A246="","",G245*$B$5/12)</f>
        <v/>
      </c>
      <c r="F246" s="15">
        <f>IF(A246="","",MIN($B$8,G245+E246-C246))</f>
        <v/>
      </c>
      <c r="G246" s="15">
        <f>IF(A246="","",MAX(0,G245-D246-F246))</f>
        <v/>
      </c>
    </row>
    <row r="247">
      <c r="A247" s="13">
        <f>IF(AND(ISNUMBER(G246),G246&gt;0.005),231,"")</f>
        <v/>
      </c>
      <c r="B247" s="14">
        <f>IF(A247="","",EDATE($B$7,230))</f>
        <v/>
      </c>
      <c r="C247" s="15">
        <f>IF(A247="","",MIN($B$9,G246+E247))</f>
        <v/>
      </c>
      <c r="D247" s="15">
        <f>IF(A247="","",C247-E247)</f>
        <v/>
      </c>
      <c r="E247" s="15">
        <f>IF(A247="","",G246*$B$5/12)</f>
        <v/>
      </c>
      <c r="F247" s="15">
        <f>IF(A247="","",MIN($B$8,G246+E247-C247))</f>
        <v/>
      </c>
      <c r="G247" s="15">
        <f>IF(A247="","",MAX(0,G246-D247-F247))</f>
        <v/>
      </c>
    </row>
    <row r="248">
      <c r="A248" s="13">
        <f>IF(AND(ISNUMBER(G247),G247&gt;0.005),232,"")</f>
        <v/>
      </c>
      <c r="B248" s="14">
        <f>IF(A248="","",EDATE($B$7,231))</f>
        <v/>
      </c>
      <c r="C248" s="15">
        <f>IF(A248="","",MIN($B$9,G247+E248))</f>
        <v/>
      </c>
      <c r="D248" s="15">
        <f>IF(A248="","",C248-E248)</f>
        <v/>
      </c>
      <c r="E248" s="15">
        <f>IF(A248="","",G247*$B$5/12)</f>
        <v/>
      </c>
      <c r="F248" s="15">
        <f>IF(A248="","",MIN($B$8,G247+E248-C248))</f>
        <v/>
      </c>
      <c r="G248" s="15">
        <f>IF(A248="","",MAX(0,G247-D248-F248))</f>
        <v/>
      </c>
    </row>
    <row r="249">
      <c r="A249" s="13">
        <f>IF(AND(ISNUMBER(G248),G248&gt;0.005),233,"")</f>
        <v/>
      </c>
      <c r="B249" s="14">
        <f>IF(A249="","",EDATE($B$7,232))</f>
        <v/>
      </c>
      <c r="C249" s="15">
        <f>IF(A249="","",MIN($B$9,G248+E249))</f>
        <v/>
      </c>
      <c r="D249" s="15">
        <f>IF(A249="","",C249-E249)</f>
        <v/>
      </c>
      <c r="E249" s="15">
        <f>IF(A249="","",G248*$B$5/12)</f>
        <v/>
      </c>
      <c r="F249" s="15">
        <f>IF(A249="","",MIN($B$8,G248+E249-C249))</f>
        <v/>
      </c>
      <c r="G249" s="15">
        <f>IF(A249="","",MAX(0,G248-D249-F249))</f>
        <v/>
      </c>
    </row>
    <row r="250">
      <c r="A250" s="13">
        <f>IF(AND(ISNUMBER(G249),G249&gt;0.005),234,"")</f>
        <v/>
      </c>
      <c r="B250" s="14">
        <f>IF(A250="","",EDATE($B$7,233))</f>
        <v/>
      </c>
      <c r="C250" s="15">
        <f>IF(A250="","",MIN($B$9,G249+E250))</f>
        <v/>
      </c>
      <c r="D250" s="15">
        <f>IF(A250="","",C250-E250)</f>
        <v/>
      </c>
      <c r="E250" s="15">
        <f>IF(A250="","",G249*$B$5/12)</f>
        <v/>
      </c>
      <c r="F250" s="15">
        <f>IF(A250="","",MIN($B$8,G249+E250-C250))</f>
        <v/>
      </c>
      <c r="G250" s="15">
        <f>IF(A250="","",MAX(0,G249-D250-F250))</f>
        <v/>
      </c>
    </row>
    <row r="251">
      <c r="A251" s="13">
        <f>IF(AND(ISNUMBER(G250),G250&gt;0.005),235,"")</f>
        <v/>
      </c>
      <c r="B251" s="14">
        <f>IF(A251="","",EDATE($B$7,234))</f>
        <v/>
      </c>
      <c r="C251" s="15">
        <f>IF(A251="","",MIN($B$9,G250+E251))</f>
        <v/>
      </c>
      <c r="D251" s="15">
        <f>IF(A251="","",C251-E251)</f>
        <v/>
      </c>
      <c r="E251" s="15">
        <f>IF(A251="","",G250*$B$5/12)</f>
        <v/>
      </c>
      <c r="F251" s="15">
        <f>IF(A251="","",MIN($B$8,G250+E251-C251))</f>
        <v/>
      </c>
      <c r="G251" s="15">
        <f>IF(A251="","",MAX(0,G250-D251-F251))</f>
        <v/>
      </c>
    </row>
    <row r="252">
      <c r="A252" s="13">
        <f>IF(AND(ISNUMBER(G251),G251&gt;0.005),236,"")</f>
        <v/>
      </c>
      <c r="B252" s="14">
        <f>IF(A252="","",EDATE($B$7,235))</f>
        <v/>
      </c>
      <c r="C252" s="15">
        <f>IF(A252="","",MIN($B$9,G251+E252))</f>
        <v/>
      </c>
      <c r="D252" s="15">
        <f>IF(A252="","",C252-E252)</f>
        <v/>
      </c>
      <c r="E252" s="15">
        <f>IF(A252="","",G251*$B$5/12)</f>
        <v/>
      </c>
      <c r="F252" s="15">
        <f>IF(A252="","",MIN($B$8,G251+E252-C252))</f>
        <v/>
      </c>
      <c r="G252" s="15">
        <f>IF(A252="","",MAX(0,G251-D252-F252))</f>
        <v/>
      </c>
    </row>
    <row r="253">
      <c r="A253" s="13">
        <f>IF(AND(ISNUMBER(G252),G252&gt;0.005),237,"")</f>
        <v/>
      </c>
      <c r="B253" s="14">
        <f>IF(A253="","",EDATE($B$7,236))</f>
        <v/>
      </c>
      <c r="C253" s="15">
        <f>IF(A253="","",MIN($B$9,G252+E253))</f>
        <v/>
      </c>
      <c r="D253" s="15">
        <f>IF(A253="","",C253-E253)</f>
        <v/>
      </c>
      <c r="E253" s="15">
        <f>IF(A253="","",G252*$B$5/12)</f>
        <v/>
      </c>
      <c r="F253" s="15">
        <f>IF(A253="","",MIN($B$8,G252+E253-C253))</f>
        <v/>
      </c>
      <c r="G253" s="15">
        <f>IF(A253="","",MAX(0,G252-D253-F253))</f>
        <v/>
      </c>
    </row>
    <row r="254">
      <c r="A254" s="13">
        <f>IF(AND(ISNUMBER(G253),G253&gt;0.005),238,"")</f>
        <v/>
      </c>
      <c r="B254" s="14">
        <f>IF(A254="","",EDATE($B$7,237))</f>
        <v/>
      </c>
      <c r="C254" s="15">
        <f>IF(A254="","",MIN($B$9,G253+E254))</f>
        <v/>
      </c>
      <c r="D254" s="15">
        <f>IF(A254="","",C254-E254)</f>
        <v/>
      </c>
      <c r="E254" s="15">
        <f>IF(A254="","",G253*$B$5/12)</f>
        <v/>
      </c>
      <c r="F254" s="15">
        <f>IF(A254="","",MIN($B$8,G253+E254-C254))</f>
        <v/>
      </c>
      <c r="G254" s="15">
        <f>IF(A254="","",MAX(0,G253-D254-F254))</f>
        <v/>
      </c>
    </row>
    <row r="255">
      <c r="A255" s="13">
        <f>IF(AND(ISNUMBER(G254),G254&gt;0.005),239,"")</f>
        <v/>
      </c>
      <c r="B255" s="14">
        <f>IF(A255="","",EDATE($B$7,238))</f>
        <v/>
      </c>
      <c r="C255" s="15">
        <f>IF(A255="","",MIN($B$9,G254+E255))</f>
        <v/>
      </c>
      <c r="D255" s="15">
        <f>IF(A255="","",C255-E255)</f>
        <v/>
      </c>
      <c r="E255" s="15">
        <f>IF(A255="","",G254*$B$5/12)</f>
        <v/>
      </c>
      <c r="F255" s="15">
        <f>IF(A255="","",MIN($B$8,G254+E255-C255))</f>
        <v/>
      </c>
      <c r="G255" s="15">
        <f>IF(A255="","",MAX(0,G254-D255-F255))</f>
        <v/>
      </c>
    </row>
    <row r="256">
      <c r="A256" s="13">
        <f>IF(AND(ISNUMBER(G255),G255&gt;0.005),240,"")</f>
        <v/>
      </c>
      <c r="B256" s="14">
        <f>IF(A256="","",EDATE($B$7,239))</f>
        <v/>
      </c>
      <c r="C256" s="15">
        <f>IF(A256="","",MIN($B$9,G255+E256))</f>
        <v/>
      </c>
      <c r="D256" s="15">
        <f>IF(A256="","",C256-E256)</f>
        <v/>
      </c>
      <c r="E256" s="15">
        <f>IF(A256="","",G255*$B$5/12)</f>
        <v/>
      </c>
      <c r="F256" s="15">
        <f>IF(A256="","",MIN($B$8,G255+E256-C256))</f>
        <v/>
      </c>
      <c r="G256" s="15">
        <f>IF(A256="","",MAX(0,G255-D256-F256))</f>
        <v/>
      </c>
    </row>
    <row r="257">
      <c r="A257" s="13">
        <f>IF(AND(ISNUMBER(G256),G256&gt;0.005),241,"")</f>
        <v/>
      </c>
      <c r="B257" s="14">
        <f>IF(A257="","",EDATE($B$7,240))</f>
        <v/>
      </c>
      <c r="C257" s="15">
        <f>IF(A257="","",MIN($B$9,G256+E257))</f>
        <v/>
      </c>
      <c r="D257" s="15">
        <f>IF(A257="","",C257-E257)</f>
        <v/>
      </c>
      <c r="E257" s="15">
        <f>IF(A257="","",G256*$B$5/12)</f>
        <v/>
      </c>
      <c r="F257" s="15">
        <f>IF(A257="","",MIN($B$8,G256+E257-C257))</f>
        <v/>
      </c>
      <c r="G257" s="15">
        <f>IF(A257="","",MAX(0,G256-D257-F257))</f>
        <v/>
      </c>
    </row>
    <row r="258">
      <c r="A258" s="13">
        <f>IF(AND(ISNUMBER(G257),G257&gt;0.005),242,"")</f>
        <v/>
      </c>
      <c r="B258" s="14">
        <f>IF(A258="","",EDATE($B$7,241))</f>
        <v/>
      </c>
      <c r="C258" s="15">
        <f>IF(A258="","",MIN($B$9,G257+E258))</f>
        <v/>
      </c>
      <c r="D258" s="15">
        <f>IF(A258="","",C258-E258)</f>
        <v/>
      </c>
      <c r="E258" s="15">
        <f>IF(A258="","",G257*$B$5/12)</f>
        <v/>
      </c>
      <c r="F258" s="15">
        <f>IF(A258="","",MIN($B$8,G257+E258-C258))</f>
        <v/>
      </c>
      <c r="G258" s="15">
        <f>IF(A258="","",MAX(0,G257-D258-F258))</f>
        <v/>
      </c>
    </row>
    <row r="259">
      <c r="A259" s="13">
        <f>IF(AND(ISNUMBER(G258),G258&gt;0.005),243,"")</f>
        <v/>
      </c>
      <c r="B259" s="14">
        <f>IF(A259="","",EDATE($B$7,242))</f>
        <v/>
      </c>
      <c r="C259" s="15">
        <f>IF(A259="","",MIN($B$9,G258+E259))</f>
        <v/>
      </c>
      <c r="D259" s="15">
        <f>IF(A259="","",C259-E259)</f>
        <v/>
      </c>
      <c r="E259" s="15">
        <f>IF(A259="","",G258*$B$5/12)</f>
        <v/>
      </c>
      <c r="F259" s="15">
        <f>IF(A259="","",MIN($B$8,G258+E259-C259))</f>
        <v/>
      </c>
      <c r="G259" s="15">
        <f>IF(A259="","",MAX(0,G258-D259-F259))</f>
        <v/>
      </c>
    </row>
    <row r="260">
      <c r="A260" s="13">
        <f>IF(AND(ISNUMBER(G259),G259&gt;0.005),244,"")</f>
        <v/>
      </c>
      <c r="B260" s="14">
        <f>IF(A260="","",EDATE($B$7,243))</f>
        <v/>
      </c>
      <c r="C260" s="15">
        <f>IF(A260="","",MIN($B$9,G259+E260))</f>
        <v/>
      </c>
      <c r="D260" s="15">
        <f>IF(A260="","",C260-E260)</f>
        <v/>
      </c>
      <c r="E260" s="15">
        <f>IF(A260="","",G259*$B$5/12)</f>
        <v/>
      </c>
      <c r="F260" s="15">
        <f>IF(A260="","",MIN($B$8,G259+E260-C260))</f>
        <v/>
      </c>
      <c r="G260" s="15">
        <f>IF(A260="","",MAX(0,G259-D260-F260))</f>
        <v/>
      </c>
    </row>
    <row r="261">
      <c r="A261" s="13">
        <f>IF(AND(ISNUMBER(G260),G260&gt;0.005),245,"")</f>
        <v/>
      </c>
      <c r="B261" s="14">
        <f>IF(A261="","",EDATE($B$7,244))</f>
        <v/>
      </c>
      <c r="C261" s="15">
        <f>IF(A261="","",MIN($B$9,G260+E261))</f>
        <v/>
      </c>
      <c r="D261" s="15">
        <f>IF(A261="","",C261-E261)</f>
        <v/>
      </c>
      <c r="E261" s="15">
        <f>IF(A261="","",G260*$B$5/12)</f>
        <v/>
      </c>
      <c r="F261" s="15">
        <f>IF(A261="","",MIN($B$8,G260+E261-C261))</f>
        <v/>
      </c>
      <c r="G261" s="15">
        <f>IF(A261="","",MAX(0,G260-D261-F261))</f>
        <v/>
      </c>
    </row>
    <row r="262">
      <c r="A262" s="13">
        <f>IF(AND(ISNUMBER(G261),G261&gt;0.005),246,"")</f>
        <v/>
      </c>
      <c r="B262" s="14">
        <f>IF(A262="","",EDATE($B$7,245))</f>
        <v/>
      </c>
      <c r="C262" s="15">
        <f>IF(A262="","",MIN($B$9,G261+E262))</f>
        <v/>
      </c>
      <c r="D262" s="15">
        <f>IF(A262="","",C262-E262)</f>
        <v/>
      </c>
      <c r="E262" s="15">
        <f>IF(A262="","",G261*$B$5/12)</f>
        <v/>
      </c>
      <c r="F262" s="15">
        <f>IF(A262="","",MIN($B$8,G261+E262-C262))</f>
        <v/>
      </c>
      <c r="G262" s="15">
        <f>IF(A262="","",MAX(0,G261-D262-F262))</f>
        <v/>
      </c>
    </row>
    <row r="263">
      <c r="A263" s="13">
        <f>IF(AND(ISNUMBER(G262),G262&gt;0.005),247,"")</f>
        <v/>
      </c>
      <c r="B263" s="14">
        <f>IF(A263="","",EDATE($B$7,246))</f>
        <v/>
      </c>
      <c r="C263" s="15">
        <f>IF(A263="","",MIN($B$9,G262+E263))</f>
        <v/>
      </c>
      <c r="D263" s="15">
        <f>IF(A263="","",C263-E263)</f>
        <v/>
      </c>
      <c r="E263" s="15">
        <f>IF(A263="","",G262*$B$5/12)</f>
        <v/>
      </c>
      <c r="F263" s="15">
        <f>IF(A263="","",MIN($B$8,G262+E263-C263))</f>
        <v/>
      </c>
      <c r="G263" s="15">
        <f>IF(A263="","",MAX(0,G262-D263-F263))</f>
        <v/>
      </c>
    </row>
    <row r="264">
      <c r="A264" s="13">
        <f>IF(AND(ISNUMBER(G263),G263&gt;0.005),248,"")</f>
        <v/>
      </c>
      <c r="B264" s="14">
        <f>IF(A264="","",EDATE($B$7,247))</f>
        <v/>
      </c>
      <c r="C264" s="15">
        <f>IF(A264="","",MIN($B$9,G263+E264))</f>
        <v/>
      </c>
      <c r="D264" s="15">
        <f>IF(A264="","",C264-E264)</f>
        <v/>
      </c>
      <c r="E264" s="15">
        <f>IF(A264="","",G263*$B$5/12)</f>
        <v/>
      </c>
      <c r="F264" s="15">
        <f>IF(A264="","",MIN($B$8,G263+E264-C264))</f>
        <v/>
      </c>
      <c r="G264" s="15">
        <f>IF(A264="","",MAX(0,G263-D264-F264))</f>
        <v/>
      </c>
    </row>
    <row r="265">
      <c r="A265" s="13">
        <f>IF(AND(ISNUMBER(G264),G264&gt;0.005),249,"")</f>
        <v/>
      </c>
      <c r="B265" s="14">
        <f>IF(A265="","",EDATE($B$7,248))</f>
        <v/>
      </c>
      <c r="C265" s="15">
        <f>IF(A265="","",MIN($B$9,G264+E265))</f>
        <v/>
      </c>
      <c r="D265" s="15">
        <f>IF(A265="","",C265-E265)</f>
        <v/>
      </c>
      <c r="E265" s="15">
        <f>IF(A265="","",G264*$B$5/12)</f>
        <v/>
      </c>
      <c r="F265" s="15">
        <f>IF(A265="","",MIN($B$8,G264+E265-C265))</f>
        <v/>
      </c>
      <c r="G265" s="15">
        <f>IF(A265="","",MAX(0,G264-D265-F265))</f>
        <v/>
      </c>
    </row>
    <row r="266">
      <c r="A266" s="13">
        <f>IF(AND(ISNUMBER(G265),G265&gt;0.005),250,"")</f>
        <v/>
      </c>
      <c r="B266" s="14">
        <f>IF(A266="","",EDATE($B$7,249))</f>
        <v/>
      </c>
      <c r="C266" s="15">
        <f>IF(A266="","",MIN($B$9,G265+E266))</f>
        <v/>
      </c>
      <c r="D266" s="15">
        <f>IF(A266="","",C266-E266)</f>
        <v/>
      </c>
      <c r="E266" s="15">
        <f>IF(A266="","",G265*$B$5/12)</f>
        <v/>
      </c>
      <c r="F266" s="15">
        <f>IF(A266="","",MIN($B$8,G265+E266-C266))</f>
        <v/>
      </c>
      <c r="G266" s="15">
        <f>IF(A266="","",MAX(0,G265-D266-F266))</f>
        <v/>
      </c>
    </row>
    <row r="267">
      <c r="A267" s="13">
        <f>IF(AND(ISNUMBER(G266),G266&gt;0.005),251,"")</f>
        <v/>
      </c>
      <c r="B267" s="14">
        <f>IF(A267="","",EDATE($B$7,250))</f>
        <v/>
      </c>
      <c r="C267" s="15">
        <f>IF(A267="","",MIN($B$9,G266+E267))</f>
        <v/>
      </c>
      <c r="D267" s="15">
        <f>IF(A267="","",C267-E267)</f>
        <v/>
      </c>
      <c r="E267" s="15">
        <f>IF(A267="","",G266*$B$5/12)</f>
        <v/>
      </c>
      <c r="F267" s="15">
        <f>IF(A267="","",MIN($B$8,G266+E267-C267))</f>
        <v/>
      </c>
      <c r="G267" s="15">
        <f>IF(A267="","",MAX(0,G266-D267-F267))</f>
        <v/>
      </c>
    </row>
    <row r="268">
      <c r="A268" s="13">
        <f>IF(AND(ISNUMBER(G267),G267&gt;0.005),252,"")</f>
        <v/>
      </c>
      <c r="B268" s="14">
        <f>IF(A268="","",EDATE($B$7,251))</f>
        <v/>
      </c>
      <c r="C268" s="15">
        <f>IF(A268="","",MIN($B$9,G267+E268))</f>
        <v/>
      </c>
      <c r="D268" s="15">
        <f>IF(A268="","",C268-E268)</f>
        <v/>
      </c>
      <c r="E268" s="15">
        <f>IF(A268="","",G267*$B$5/12)</f>
        <v/>
      </c>
      <c r="F268" s="15">
        <f>IF(A268="","",MIN($B$8,G267+E268-C268))</f>
        <v/>
      </c>
      <c r="G268" s="15">
        <f>IF(A268="","",MAX(0,G267-D268-F268))</f>
        <v/>
      </c>
    </row>
    <row r="269">
      <c r="A269" s="13">
        <f>IF(AND(ISNUMBER(G268),G268&gt;0.005),253,"")</f>
        <v/>
      </c>
      <c r="B269" s="14">
        <f>IF(A269="","",EDATE($B$7,252))</f>
        <v/>
      </c>
      <c r="C269" s="15">
        <f>IF(A269="","",MIN($B$9,G268+E269))</f>
        <v/>
      </c>
      <c r="D269" s="15">
        <f>IF(A269="","",C269-E269)</f>
        <v/>
      </c>
      <c r="E269" s="15">
        <f>IF(A269="","",G268*$B$5/12)</f>
        <v/>
      </c>
      <c r="F269" s="15">
        <f>IF(A269="","",MIN($B$8,G268+E269-C269))</f>
        <v/>
      </c>
      <c r="G269" s="15">
        <f>IF(A269="","",MAX(0,G268-D269-F269))</f>
        <v/>
      </c>
    </row>
    <row r="270">
      <c r="A270" s="13">
        <f>IF(AND(ISNUMBER(G269),G269&gt;0.005),254,"")</f>
        <v/>
      </c>
      <c r="B270" s="14">
        <f>IF(A270="","",EDATE($B$7,253))</f>
        <v/>
      </c>
      <c r="C270" s="15">
        <f>IF(A270="","",MIN($B$9,G269+E270))</f>
        <v/>
      </c>
      <c r="D270" s="15">
        <f>IF(A270="","",C270-E270)</f>
        <v/>
      </c>
      <c r="E270" s="15">
        <f>IF(A270="","",G269*$B$5/12)</f>
        <v/>
      </c>
      <c r="F270" s="15">
        <f>IF(A270="","",MIN($B$8,G269+E270-C270))</f>
        <v/>
      </c>
      <c r="G270" s="15">
        <f>IF(A270="","",MAX(0,G269-D270-F270))</f>
        <v/>
      </c>
    </row>
    <row r="271">
      <c r="A271" s="13">
        <f>IF(AND(ISNUMBER(G270),G270&gt;0.005),255,"")</f>
        <v/>
      </c>
      <c r="B271" s="14">
        <f>IF(A271="","",EDATE($B$7,254))</f>
        <v/>
      </c>
      <c r="C271" s="15">
        <f>IF(A271="","",MIN($B$9,G270+E271))</f>
        <v/>
      </c>
      <c r="D271" s="15">
        <f>IF(A271="","",C271-E271)</f>
        <v/>
      </c>
      <c r="E271" s="15">
        <f>IF(A271="","",G270*$B$5/12)</f>
        <v/>
      </c>
      <c r="F271" s="15">
        <f>IF(A271="","",MIN($B$8,G270+E271-C271))</f>
        <v/>
      </c>
      <c r="G271" s="15">
        <f>IF(A271="","",MAX(0,G270-D271-F271))</f>
        <v/>
      </c>
    </row>
    <row r="272">
      <c r="A272" s="13">
        <f>IF(AND(ISNUMBER(G271),G271&gt;0.005),256,"")</f>
        <v/>
      </c>
      <c r="B272" s="14">
        <f>IF(A272="","",EDATE($B$7,255))</f>
        <v/>
      </c>
      <c r="C272" s="15">
        <f>IF(A272="","",MIN($B$9,G271+E272))</f>
        <v/>
      </c>
      <c r="D272" s="15">
        <f>IF(A272="","",C272-E272)</f>
        <v/>
      </c>
      <c r="E272" s="15">
        <f>IF(A272="","",G271*$B$5/12)</f>
        <v/>
      </c>
      <c r="F272" s="15">
        <f>IF(A272="","",MIN($B$8,G271+E272-C272))</f>
        <v/>
      </c>
      <c r="G272" s="15">
        <f>IF(A272="","",MAX(0,G271-D272-F272))</f>
        <v/>
      </c>
    </row>
    <row r="273">
      <c r="A273" s="13">
        <f>IF(AND(ISNUMBER(G272),G272&gt;0.005),257,"")</f>
        <v/>
      </c>
      <c r="B273" s="14">
        <f>IF(A273="","",EDATE($B$7,256))</f>
        <v/>
      </c>
      <c r="C273" s="15">
        <f>IF(A273="","",MIN($B$9,G272+E273))</f>
        <v/>
      </c>
      <c r="D273" s="15">
        <f>IF(A273="","",C273-E273)</f>
        <v/>
      </c>
      <c r="E273" s="15">
        <f>IF(A273="","",G272*$B$5/12)</f>
        <v/>
      </c>
      <c r="F273" s="15">
        <f>IF(A273="","",MIN($B$8,G272+E273-C273))</f>
        <v/>
      </c>
      <c r="G273" s="15">
        <f>IF(A273="","",MAX(0,G272-D273-F273))</f>
        <v/>
      </c>
    </row>
    <row r="274">
      <c r="A274" s="13">
        <f>IF(AND(ISNUMBER(G273),G273&gt;0.005),258,"")</f>
        <v/>
      </c>
      <c r="B274" s="14">
        <f>IF(A274="","",EDATE($B$7,257))</f>
        <v/>
      </c>
      <c r="C274" s="15">
        <f>IF(A274="","",MIN($B$9,G273+E274))</f>
        <v/>
      </c>
      <c r="D274" s="15">
        <f>IF(A274="","",C274-E274)</f>
        <v/>
      </c>
      <c r="E274" s="15">
        <f>IF(A274="","",G273*$B$5/12)</f>
        <v/>
      </c>
      <c r="F274" s="15">
        <f>IF(A274="","",MIN($B$8,G273+E274-C274))</f>
        <v/>
      </c>
      <c r="G274" s="15">
        <f>IF(A274="","",MAX(0,G273-D274-F274))</f>
        <v/>
      </c>
    </row>
    <row r="275">
      <c r="A275" s="13">
        <f>IF(AND(ISNUMBER(G274),G274&gt;0.005),259,"")</f>
        <v/>
      </c>
      <c r="B275" s="14">
        <f>IF(A275="","",EDATE($B$7,258))</f>
        <v/>
      </c>
      <c r="C275" s="15">
        <f>IF(A275="","",MIN($B$9,G274+E275))</f>
        <v/>
      </c>
      <c r="D275" s="15">
        <f>IF(A275="","",C275-E275)</f>
        <v/>
      </c>
      <c r="E275" s="15">
        <f>IF(A275="","",G274*$B$5/12)</f>
        <v/>
      </c>
      <c r="F275" s="15">
        <f>IF(A275="","",MIN($B$8,G274+E275-C275))</f>
        <v/>
      </c>
      <c r="G275" s="15">
        <f>IF(A275="","",MAX(0,G274-D275-F275))</f>
        <v/>
      </c>
    </row>
    <row r="276">
      <c r="A276" s="13">
        <f>IF(AND(ISNUMBER(G275),G275&gt;0.005),260,"")</f>
        <v/>
      </c>
      <c r="B276" s="14">
        <f>IF(A276="","",EDATE($B$7,259))</f>
        <v/>
      </c>
      <c r="C276" s="15">
        <f>IF(A276="","",MIN($B$9,G275+E276))</f>
        <v/>
      </c>
      <c r="D276" s="15">
        <f>IF(A276="","",C276-E276)</f>
        <v/>
      </c>
      <c r="E276" s="15">
        <f>IF(A276="","",G275*$B$5/12)</f>
        <v/>
      </c>
      <c r="F276" s="15">
        <f>IF(A276="","",MIN($B$8,G275+E276-C276))</f>
        <v/>
      </c>
      <c r="G276" s="15">
        <f>IF(A276="","",MAX(0,G275-D276-F276))</f>
        <v/>
      </c>
    </row>
    <row r="277">
      <c r="A277" s="13">
        <f>IF(AND(ISNUMBER(G276),G276&gt;0.005),261,"")</f>
        <v/>
      </c>
      <c r="B277" s="14">
        <f>IF(A277="","",EDATE($B$7,260))</f>
        <v/>
      </c>
      <c r="C277" s="15">
        <f>IF(A277="","",MIN($B$9,G276+E277))</f>
        <v/>
      </c>
      <c r="D277" s="15">
        <f>IF(A277="","",C277-E277)</f>
        <v/>
      </c>
      <c r="E277" s="15">
        <f>IF(A277="","",G276*$B$5/12)</f>
        <v/>
      </c>
      <c r="F277" s="15">
        <f>IF(A277="","",MIN($B$8,G276+E277-C277))</f>
        <v/>
      </c>
      <c r="G277" s="15">
        <f>IF(A277="","",MAX(0,G276-D277-F277))</f>
        <v/>
      </c>
    </row>
    <row r="278">
      <c r="A278" s="13">
        <f>IF(AND(ISNUMBER(G277),G277&gt;0.005),262,"")</f>
        <v/>
      </c>
      <c r="B278" s="14">
        <f>IF(A278="","",EDATE($B$7,261))</f>
        <v/>
      </c>
      <c r="C278" s="15">
        <f>IF(A278="","",MIN($B$9,G277+E278))</f>
        <v/>
      </c>
      <c r="D278" s="15">
        <f>IF(A278="","",C278-E278)</f>
        <v/>
      </c>
      <c r="E278" s="15">
        <f>IF(A278="","",G277*$B$5/12)</f>
        <v/>
      </c>
      <c r="F278" s="15">
        <f>IF(A278="","",MIN($B$8,G277+E278-C278))</f>
        <v/>
      </c>
      <c r="G278" s="15">
        <f>IF(A278="","",MAX(0,G277-D278-F278))</f>
        <v/>
      </c>
    </row>
    <row r="279">
      <c r="A279" s="13">
        <f>IF(AND(ISNUMBER(G278),G278&gt;0.005),263,"")</f>
        <v/>
      </c>
      <c r="B279" s="14">
        <f>IF(A279="","",EDATE($B$7,262))</f>
        <v/>
      </c>
      <c r="C279" s="15">
        <f>IF(A279="","",MIN($B$9,G278+E279))</f>
        <v/>
      </c>
      <c r="D279" s="15">
        <f>IF(A279="","",C279-E279)</f>
        <v/>
      </c>
      <c r="E279" s="15">
        <f>IF(A279="","",G278*$B$5/12)</f>
        <v/>
      </c>
      <c r="F279" s="15">
        <f>IF(A279="","",MIN($B$8,G278+E279-C279))</f>
        <v/>
      </c>
      <c r="G279" s="15">
        <f>IF(A279="","",MAX(0,G278-D279-F279))</f>
        <v/>
      </c>
    </row>
    <row r="280">
      <c r="A280" s="13">
        <f>IF(AND(ISNUMBER(G279),G279&gt;0.005),264,"")</f>
        <v/>
      </c>
      <c r="B280" s="14">
        <f>IF(A280="","",EDATE($B$7,263))</f>
        <v/>
      </c>
      <c r="C280" s="15">
        <f>IF(A280="","",MIN($B$9,G279+E280))</f>
        <v/>
      </c>
      <c r="D280" s="15">
        <f>IF(A280="","",C280-E280)</f>
        <v/>
      </c>
      <c r="E280" s="15">
        <f>IF(A280="","",G279*$B$5/12)</f>
        <v/>
      </c>
      <c r="F280" s="15">
        <f>IF(A280="","",MIN($B$8,G279+E280-C280))</f>
        <v/>
      </c>
      <c r="G280" s="15">
        <f>IF(A280="","",MAX(0,G279-D280-F280))</f>
        <v/>
      </c>
    </row>
    <row r="281">
      <c r="A281" s="13">
        <f>IF(AND(ISNUMBER(G280),G280&gt;0.005),265,"")</f>
        <v/>
      </c>
      <c r="B281" s="14">
        <f>IF(A281="","",EDATE($B$7,264))</f>
        <v/>
      </c>
      <c r="C281" s="15">
        <f>IF(A281="","",MIN($B$9,G280+E281))</f>
        <v/>
      </c>
      <c r="D281" s="15">
        <f>IF(A281="","",C281-E281)</f>
        <v/>
      </c>
      <c r="E281" s="15">
        <f>IF(A281="","",G280*$B$5/12)</f>
        <v/>
      </c>
      <c r="F281" s="15">
        <f>IF(A281="","",MIN($B$8,G280+E281-C281))</f>
        <v/>
      </c>
      <c r="G281" s="15">
        <f>IF(A281="","",MAX(0,G280-D281-F281))</f>
        <v/>
      </c>
    </row>
    <row r="282">
      <c r="A282" s="13">
        <f>IF(AND(ISNUMBER(G281),G281&gt;0.005),266,"")</f>
        <v/>
      </c>
      <c r="B282" s="14">
        <f>IF(A282="","",EDATE($B$7,265))</f>
        <v/>
      </c>
      <c r="C282" s="15">
        <f>IF(A282="","",MIN($B$9,G281+E282))</f>
        <v/>
      </c>
      <c r="D282" s="15">
        <f>IF(A282="","",C282-E282)</f>
        <v/>
      </c>
      <c r="E282" s="15">
        <f>IF(A282="","",G281*$B$5/12)</f>
        <v/>
      </c>
      <c r="F282" s="15">
        <f>IF(A282="","",MIN($B$8,G281+E282-C282))</f>
        <v/>
      </c>
      <c r="G282" s="15">
        <f>IF(A282="","",MAX(0,G281-D282-F282))</f>
        <v/>
      </c>
    </row>
    <row r="283">
      <c r="A283" s="13">
        <f>IF(AND(ISNUMBER(G282),G282&gt;0.005),267,"")</f>
        <v/>
      </c>
      <c r="B283" s="14">
        <f>IF(A283="","",EDATE($B$7,266))</f>
        <v/>
      </c>
      <c r="C283" s="15">
        <f>IF(A283="","",MIN($B$9,G282+E283))</f>
        <v/>
      </c>
      <c r="D283" s="15">
        <f>IF(A283="","",C283-E283)</f>
        <v/>
      </c>
      <c r="E283" s="15">
        <f>IF(A283="","",G282*$B$5/12)</f>
        <v/>
      </c>
      <c r="F283" s="15">
        <f>IF(A283="","",MIN($B$8,G282+E283-C283))</f>
        <v/>
      </c>
      <c r="G283" s="15">
        <f>IF(A283="","",MAX(0,G282-D283-F283))</f>
        <v/>
      </c>
    </row>
    <row r="284">
      <c r="A284" s="13">
        <f>IF(AND(ISNUMBER(G283),G283&gt;0.005),268,"")</f>
        <v/>
      </c>
      <c r="B284" s="14">
        <f>IF(A284="","",EDATE($B$7,267))</f>
        <v/>
      </c>
      <c r="C284" s="15">
        <f>IF(A284="","",MIN($B$9,G283+E284))</f>
        <v/>
      </c>
      <c r="D284" s="15">
        <f>IF(A284="","",C284-E284)</f>
        <v/>
      </c>
      <c r="E284" s="15">
        <f>IF(A284="","",G283*$B$5/12)</f>
        <v/>
      </c>
      <c r="F284" s="15">
        <f>IF(A284="","",MIN($B$8,G283+E284-C284))</f>
        <v/>
      </c>
      <c r="G284" s="15">
        <f>IF(A284="","",MAX(0,G283-D284-F284))</f>
        <v/>
      </c>
    </row>
    <row r="285">
      <c r="A285" s="13">
        <f>IF(AND(ISNUMBER(G284),G284&gt;0.005),269,"")</f>
        <v/>
      </c>
      <c r="B285" s="14">
        <f>IF(A285="","",EDATE($B$7,268))</f>
        <v/>
      </c>
      <c r="C285" s="15">
        <f>IF(A285="","",MIN($B$9,G284+E285))</f>
        <v/>
      </c>
      <c r="D285" s="15">
        <f>IF(A285="","",C285-E285)</f>
        <v/>
      </c>
      <c r="E285" s="15">
        <f>IF(A285="","",G284*$B$5/12)</f>
        <v/>
      </c>
      <c r="F285" s="15">
        <f>IF(A285="","",MIN($B$8,G284+E285-C285))</f>
        <v/>
      </c>
      <c r="G285" s="15">
        <f>IF(A285="","",MAX(0,G284-D285-F285))</f>
        <v/>
      </c>
    </row>
    <row r="286">
      <c r="A286" s="13">
        <f>IF(AND(ISNUMBER(G285),G285&gt;0.005),270,"")</f>
        <v/>
      </c>
      <c r="B286" s="14">
        <f>IF(A286="","",EDATE($B$7,269))</f>
        <v/>
      </c>
      <c r="C286" s="15">
        <f>IF(A286="","",MIN($B$9,G285+E286))</f>
        <v/>
      </c>
      <c r="D286" s="15">
        <f>IF(A286="","",C286-E286)</f>
        <v/>
      </c>
      <c r="E286" s="15">
        <f>IF(A286="","",G285*$B$5/12)</f>
        <v/>
      </c>
      <c r="F286" s="15">
        <f>IF(A286="","",MIN($B$8,G285+E286-C286))</f>
        <v/>
      </c>
      <c r="G286" s="15">
        <f>IF(A286="","",MAX(0,G285-D286-F286))</f>
        <v/>
      </c>
    </row>
    <row r="287">
      <c r="A287" s="13">
        <f>IF(AND(ISNUMBER(G286),G286&gt;0.005),271,"")</f>
        <v/>
      </c>
      <c r="B287" s="14">
        <f>IF(A287="","",EDATE($B$7,270))</f>
        <v/>
      </c>
      <c r="C287" s="15">
        <f>IF(A287="","",MIN($B$9,G286+E287))</f>
        <v/>
      </c>
      <c r="D287" s="15">
        <f>IF(A287="","",C287-E287)</f>
        <v/>
      </c>
      <c r="E287" s="15">
        <f>IF(A287="","",G286*$B$5/12)</f>
        <v/>
      </c>
      <c r="F287" s="15">
        <f>IF(A287="","",MIN($B$8,G286+E287-C287))</f>
        <v/>
      </c>
      <c r="G287" s="15">
        <f>IF(A287="","",MAX(0,G286-D287-F287))</f>
        <v/>
      </c>
    </row>
    <row r="288">
      <c r="A288" s="13">
        <f>IF(AND(ISNUMBER(G287),G287&gt;0.005),272,"")</f>
        <v/>
      </c>
      <c r="B288" s="14">
        <f>IF(A288="","",EDATE($B$7,271))</f>
        <v/>
      </c>
      <c r="C288" s="15">
        <f>IF(A288="","",MIN($B$9,G287+E288))</f>
        <v/>
      </c>
      <c r="D288" s="15">
        <f>IF(A288="","",C288-E288)</f>
        <v/>
      </c>
      <c r="E288" s="15">
        <f>IF(A288="","",G287*$B$5/12)</f>
        <v/>
      </c>
      <c r="F288" s="15">
        <f>IF(A288="","",MIN($B$8,G287+E288-C288))</f>
        <v/>
      </c>
      <c r="G288" s="15">
        <f>IF(A288="","",MAX(0,G287-D288-F288))</f>
        <v/>
      </c>
    </row>
    <row r="289">
      <c r="A289" s="13">
        <f>IF(AND(ISNUMBER(G288),G288&gt;0.005),273,"")</f>
        <v/>
      </c>
      <c r="B289" s="14">
        <f>IF(A289="","",EDATE($B$7,272))</f>
        <v/>
      </c>
      <c r="C289" s="15">
        <f>IF(A289="","",MIN($B$9,G288+E289))</f>
        <v/>
      </c>
      <c r="D289" s="15">
        <f>IF(A289="","",C289-E289)</f>
        <v/>
      </c>
      <c r="E289" s="15">
        <f>IF(A289="","",G288*$B$5/12)</f>
        <v/>
      </c>
      <c r="F289" s="15">
        <f>IF(A289="","",MIN($B$8,G288+E289-C289))</f>
        <v/>
      </c>
      <c r="G289" s="15">
        <f>IF(A289="","",MAX(0,G288-D289-F289))</f>
        <v/>
      </c>
    </row>
    <row r="290">
      <c r="A290" s="13">
        <f>IF(AND(ISNUMBER(G289),G289&gt;0.005),274,"")</f>
        <v/>
      </c>
      <c r="B290" s="14">
        <f>IF(A290="","",EDATE($B$7,273))</f>
        <v/>
      </c>
      <c r="C290" s="15">
        <f>IF(A290="","",MIN($B$9,G289+E290))</f>
        <v/>
      </c>
      <c r="D290" s="15">
        <f>IF(A290="","",C290-E290)</f>
        <v/>
      </c>
      <c r="E290" s="15">
        <f>IF(A290="","",G289*$B$5/12)</f>
        <v/>
      </c>
      <c r="F290" s="15">
        <f>IF(A290="","",MIN($B$8,G289+E290-C290))</f>
        <v/>
      </c>
      <c r="G290" s="15">
        <f>IF(A290="","",MAX(0,G289-D290-F290))</f>
        <v/>
      </c>
    </row>
    <row r="291">
      <c r="A291" s="13">
        <f>IF(AND(ISNUMBER(G290),G290&gt;0.005),275,"")</f>
        <v/>
      </c>
      <c r="B291" s="14">
        <f>IF(A291="","",EDATE($B$7,274))</f>
        <v/>
      </c>
      <c r="C291" s="15">
        <f>IF(A291="","",MIN($B$9,G290+E291))</f>
        <v/>
      </c>
      <c r="D291" s="15">
        <f>IF(A291="","",C291-E291)</f>
        <v/>
      </c>
      <c r="E291" s="15">
        <f>IF(A291="","",G290*$B$5/12)</f>
        <v/>
      </c>
      <c r="F291" s="15">
        <f>IF(A291="","",MIN($B$8,G290+E291-C291))</f>
        <v/>
      </c>
      <c r="G291" s="15">
        <f>IF(A291="","",MAX(0,G290-D291-F291))</f>
        <v/>
      </c>
    </row>
    <row r="292">
      <c r="A292" s="13">
        <f>IF(AND(ISNUMBER(G291),G291&gt;0.005),276,"")</f>
        <v/>
      </c>
      <c r="B292" s="14">
        <f>IF(A292="","",EDATE($B$7,275))</f>
        <v/>
      </c>
      <c r="C292" s="15">
        <f>IF(A292="","",MIN($B$9,G291+E292))</f>
        <v/>
      </c>
      <c r="D292" s="15">
        <f>IF(A292="","",C292-E292)</f>
        <v/>
      </c>
      <c r="E292" s="15">
        <f>IF(A292="","",G291*$B$5/12)</f>
        <v/>
      </c>
      <c r="F292" s="15">
        <f>IF(A292="","",MIN($B$8,G291+E292-C292))</f>
        <v/>
      </c>
      <c r="G292" s="15">
        <f>IF(A292="","",MAX(0,G291-D292-F292))</f>
        <v/>
      </c>
    </row>
    <row r="293">
      <c r="A293" s="13">
        <f>IF(AND(ISNUMBER(G292),G292&gt;0.005),277,"")</f>
        <v/>
      </c>
      <c r="B293" s="14">
        <f>IF(A293="","",EDATE($B$7,276))</f>
        <v/>
      </c>
      <c r="C293" s="15">
        <f>IF(A293="","",MIN($B$9,G292+E293))</f>
        <v/>
      </c>
      <c r="D293" s="15">
        <f>IF(A293="","",C293-E293)</f>
        <v/>
      </c>
      <c r="E293" s="15">
        <f>IF(A293="","",G292*$B$5/12)</f>
        <v/>
      </c>
      <c r="F293" s="15">
        <f>IF(A293="","",MIN($B$8,G292+E293-C293))</f>
        <v/>
      </c>
      <c r="G293" s="15">
        <f>IF(A293="","",MAX(0,G292-D293-F293))</f>
        <v/>
      </c>
    </row>
    <row r="294">
      <c r="A294" s="13">
        <f>IF(AND(ISNUMBER(G293),G293&gt;0.005),278,"")</f>
        <v/>
      </c>
      <c r="B294" s="14">
        <f>IF(A294="","",EDATE($B$7,277))</f>
        <v/>
      </c>
      <c r="C294" s="15">
        <f>IF(A294="","",MIN($B$9,G293+E294))</f>
        <v/>
      </c>
      <c r="D294" s="15">
        <f>IF(A294="","",C294-E294)</f>
        <v/>
      </c>
      <c r="E294" s="15">
        <f>IF(A294="","",G293*$B$5/12)</f>
        <v/>
      </c>
      <c r="F294" s="15">
        <f>IF(A294="","",MIN($B$8,G293+E294-C294))</f>
        <v/>
      </c>
      <c r="G294" s="15">
        <f>IF(A294="","",MAX(0,G293-D294-F294))</f>
        <v/>
      </c>
    </row>
    <row r="295">
      <c r="A295" s="13">
        <f>IF(AND(ISNUMBER(G294),G294&gt;0.005),279,"")</f>
        <v/>
      </c>
      <c r="B295" s="14">
        <f>IF(A295="","",EDATE($B$7,278))</f>
        <v/>
      </c>
      <c r="C295" s="15">
        <f>IF(A295="","",MIN($B$9,G294+E295))</f>
        <v/>
      </c>
      <c r="D295" s="15">
        <f>IF(A295="","",C295-E295)</f>
        <v/>
      </c>
      <c r="E295" s="15">
        <f>IF(A295="","",G294*$B$5/12)</f>
        <v/>
      </c>
      <c r="F295" s="15">
        <f>IF(A295="","",MIN($B$8,G294+E295-C295))</f>
        <v/>
      </c>
      <c r="G295" s="15">
        <f>IF(A295="","",MAX(0,G294-D295-F295))</f>
        <v/>
      </c>
    </row>
    <row r="296">
      <c r="A296" s="13">
        <f>IF(AND(ISNUMBER(G295),G295&gt;0.005),280,"")</f>
        <v/>
      </c>
      <c r="B296" s="14">
        <f>IF(A296="","",EDATE($B$7,279))</f>
        <v/>
      </c>
      <c r="C296" s="15">
        <f>IF(A296="","",MIN($B$9,G295+E296))</f>
        <v/>
      </c>
      <c r="D296" s="15">
        <f>IF(A296="","",C296-E296)</f>
        <v/>
      </c>
      <c r="E296" s="15">
        <f>IF(A296="","",G295*$B$5/12)</f>
        <v/>
      </c>
      <c r="F296" s="15">
        <f>IF(A296="","",MIN($B$8,G295+E296-C296))</f>
        <v/>
      </c>
      <c r="G296" s="15">
        <f>IF(A296="","",MAX(0,G295-D296-F296))</f>
        <v/>
      </c>
    </row>
    <row r="297">
      <c r="A297" s="13">
        <f>IF(AND(ISNUMBER(G296),G296&gt;0.005),281,"")</f>
        <v/>
      </c>
      <c r="B297" s="14">
        <f>IF(A297="","",EDATE($B$7,280))</f>
        <v/>
      </c>
      <c r="C297" s="15">
        <f>IF(A297="","",MIN($B$9,G296+E297))</f>
        <v/>
      </c>
      <c r="D297" s="15">
        <f>IF(A297="","",C297-E297)</f>
        <v/>
      </c>
      <c r="E297" s="15">
        <f>IF(A297="","",G296*$B$5/12)</f>
        <v/>
      </c>
      <c r="F297" s="15">
        <f>IF(A297="","",MIN($B$8,G296+E297-C297))</f>
        <v/>
      </c>
      <c r="G297" s="15">
        <f>IF(A297="","",MAX(0,G296-D297-F297))</f>
        <v/>
      </c>
    </row>
    <row r="298">
      <c r="A298" s="13">
        <f>IF(AND(ISNUMBER(G297),G297&gt;0.005),282,"")</f>
        <v/>
      </c>
      <c r="B298" s="14">
        <f>IF(A298="","",EDATE($B$7,281))</f>
        <v/>
      </c>
      <c r="C298" s="15">
        <f>IF(A298="","",MIN($B$9,G297+E298))</f>
        <v/>
      </c>
      <c r="D298" s="15">
        <f>IF(A298="","",C298-E298)</f>
        <v/>
      </c>
      <c r="E298" s="15">
        <f>IF(A298="","",G297*$B$5/12)</f>
        <v/>
      </c>
      <c r="F298" s="15">
        <f>IF(A298="","",MIN($B$8,G297+E298-C298))</f>
        <v/>
      </c>
      <c r="G298" s="15">
        <f>IF(A298="","",MAX(0,G297-D298-F298))</f>
        <v/>
      </c>
    </row>
    <row r="299">
      <c r="A299" s="13">
        <f>IF(AND(ISNUMBER(G298),G298&gt;0.005),283,"")</f>
        <v/>
      </c>
      <c r="B299" s="14">
        <f>IF(A299="","",EDATE($B$7,282))</f>
        <v/>
      </c>
      <c r="C299" s="15">
        <f>IF(A299="","",MIN($B$9,G298+E299))</f>
        <v/>
      </c>
      <c r="D299" s="15">
        <f>IF(A299="","",C299-E299)</f>
        <v/>
      </c>
      <c r="E299" s="15">
        <f>IF(A299="","",G298*$B$5/12)</f>
        <v/>
      </c>
      <c r="F299" s="15">
        <f>IF(A299="","",MIN($B$8,G298+E299-C299))</f>
        <v/>
      </c>
      <c r="G299" s="15">
        <f>IF(A299="","",MAX(0,G298-D299-F299))</f>
        <v/>
      </c>
    </row>
    <row r="300">
      <c r="A300" s="13">
        <f>IF(AND(ISNUMBER(G299),G299&gt;0.005),284,"")</f>
        <v/>
      </c>
      <c r="B300" s="14">
        <f>IF(A300="","",EDATE($B$7,283))</f>
        <v/>
      </c>
      <c r="C300" s="15">
        <f>IF(A300="","",MIN($B$9,G299+E300))</f>
        <v/>
      </c>
      <c r="D300" s="15">
        <f>IF(A300="","",C300-E300)</f>
        <v/>
      </c>
      <c r="E300" s="15">
        <f>IF(A300="","",G299*$B$5/12)</f>
        <v/>
      </c>
      <c r="F300" s="15">
        <f>IF(A300="","",MIN($B$8,G299+E300-C300))</f>
        <v/>
      </c>
      <c r="G300" s="15">
        <f>IF(A300="","",MAX(0,G299-D300-F300))</f>
        <v/>
      </c>
    </row>
    <row r="301">
      <c r="A301" s="13">
        <f>IF(AND(ISNUMBER(G300),G300&gt;0.005),285,"")</f>
        <v/>
      </c>
      <c r="B301" s="14">
        <f>IF(A301="","",EDATE($B$7,284))</f>
        <v/>
      </c>
      <c r="C301" s="15">
        <f>IF(A301="","",MIN($B$9,G300+E301))</f>
        <v/>
      </c>
      <c r="D301" s="15">
        <f>IF(A301="","",C301-E301)</f>
        <v/>
      </c>
      <c r="E301" s="15">
        <f>IF(A301="","",G300*$B$5/12)</f>
        <v/>
      </c>
      <c r="F301" s="15">
        <f>IF(A301="","",MIN($B$8,G300+E301-C301))</f>
        <v/>
      </c>
      <c r="G301" s="15">
        <f>IF(A301="","",MAX(0,G300-D301-F301))</f>
        <v/>
      </c>
    </row>
    <row r="302">
      <c r="A302" s="13">
        <f>IF(AND(ISNUMBER(G301),G301&gt;0.005),286,"")</f>
        <v/>
      </c>
      <c r="B302" s="14">
        <f>IF(A302="","",EDATE($B$7,285))</f>
        <v/>
      </c>
      <c r="C302" s="15">
        <f>IF(A302="","",MIN($B$9,G301+E302))</f>
        <v/>
      </c>
      <c r="D302" s="15">
        <f>IF(A302="","",C302-E302)</f>
        <v/>
      </c>
      <c r="E302" s="15">
        <f>IF(A302="","",G301*$B$5/12)</f>
        <v/>
      </c>
      <c r="F302" s="15">
        <f>IF(A302="","",MIN($B$8,G301+E302-C302))</f>
        <v/>
      </c>
      <c r="G302" s="15">
        <f>IF(A302="","",MAX(0,G301-D302-F302))</f>
        <v/>
      </c>
    </row>
    <row r="303">
      <c r="A303" s="13">
        <f>IF(AND(ISNUMBER(G302),G302&gt;0.005),287,"")</f>
        <v/>
      </c>
      <c r="B303" s="14">
        <f>IF(A303="","",EDATE($B$7,286))</f>
        <v/>
      </c>
      <c r="C303" s="15">
        <f>IF(A303="","",MIN($B$9,G302+E303))</f>
        <v/>
      </c>
      <c r="D303" s="15">
        <f>IF(A303="","",C303-E303)</f>
        <v/>
      </c>
      <c r="E303" s="15">
        <f>IF(A303="","",G302*$B$5/12)</f>
        <v/>
      </c>
      <c r="F303" s="15">
        <f>IF(A303="","",MIN($B$8,G302+E303-C303))</f>
        <v/>
      </c>
      <c r="G303" s="15">
        <f>IF(A303="","",MAX(0,G302-D303-F303))</f>
        <v/>
      </c>
    </row>
    <row r="304">
      <c r="A304" s="13">
        <f>IF(AND(ISNUMBER(G303),G303&gt;0.005),288,"")</f>
        <v/>
      </c>
      <c r="B304" s="14">
        <f>IF(A304="","",EDATE($B$7,287))</f>
        <v/>
      </c>
      <c r="C304" s="15">
        <f>IF(A304="","",MIN($B$9,G303+E304))</f>
        <v/>
      </c>
      <c r="D304" s="15">
        <f>IF(A304="","",C304-E304)</f>
        <v/>
      </c>
      <c r="E304" s="15">
        <f>IF(A304="","",G303*$B$5/12)</f>
        <v/>
      </c>
      <c r="F304" s="15">
        <f>IF(A304="","",MIN($B$8,G303+E304-C304))</f>
        <v/>
      </c>
      <c r="G304" s="15">
        <f>IF(A304="","",MAX(0,G303-D304-F304))</f>
        <v/>
      </c>
    </row>
    <row r="305">
      <c r="A305" s="13">
        <f>IF(AND(ISNUMBER(G304),G304&gt;0.005),289,"")</f>
        <v/>
      </c>
      <c r="B305" s="14">
        <f>IF(A305="","",EDATE($B$7,288))</f>
        <v/>
      </c>
      <c r="C305" s="15">
        <f>IF(A305="","",MIN($B$9,G304+E305))</f>
        <v/>
      </c>
      <c r="D305" s="15">
        <f>IF(A305="","",C305-E305)</f>
        <v/>
      </c>
      <c r="E305" s="15">
        <f>IF(A305="","",G304*$B$5/12)</f>
        <v/>
      </c>
      <c r="F305" s="15">
        <f>IF(A305="","",MIN($B$8,G304+E305-C305))</f>
        <v/>
      </c>
      <c r="G305" s="15">
        <f>IF(A305="","",MAX(0,G304-D305-F305))</f>
        <v/>
      </c>
    </row>
    <row r="306">
      <c r="A306" s="13">
        <f>IF(AND(ISNUMBER(G305),G305&gt;0.005),290,"")</f>
        <v/>
      </c>
      <c r="B306" s="14">
        <f>IF(A306="","",EDATE($B$7,289))</f>
        <v/>
      </c>
      <c r="C306" s="15">
        <f>IF(A306="","",MIN($B$9,G305+E306))</f>
        <v/>
      </c>
      <c r="D306" s="15">
        <f>IF(A306="","",C306-E306)</f>
        <v/>
      </c>
      <c r="E306" s="15">
        <f>IF(A306="","",G305*$B$5/12)</f>
        <v/>
      </c>
      <c r="F306" s="15">
        <f>IF(A306="","",MIN($B$8,G305+E306-C306))</f>
        <v/>
      </c>
      <c r="G306" s="15">
        <f>IF(A306="","",MAX(0,G305-D306-F306))</f>
        <v/>
      </c>
    </row>
    <row r="307">
      <c r="A307" s="13">
        <f>IF(AND(ISNUMBER(G306),G306&gt;0.005),291,"")</f>
        <v/>
      </c>
      <c r="B307" s="14">
        <f>IF(A307="","",EDATE($B$7,290))</f>
        <v/>
      </c>
      <c r="C307" s="15">
        <f>IF(A307="","",MIN($B$9,G306+E307))</f>
        <v/>
      </c>
      <c r="D307" s="15">
        <f>IF(A307="","",C307-E307)</f>
        <v/>
      </c>
      <c r="E307" s="15">
        <f>IF(A307="","",G306*$B$5/12)</f>
        <v/>
      </c>
      <c r="F307" s="15">
        <f>IF(A307="","",MIN($B$8,G306+E307-C307))</f>
        <v/>
      </c>
      <c r="G307" s="15">
        <f>IF(A307="","",MAX(0,G306-D307-F307))</f>
        <v/>
      </c>
    </row>
    <row r="308">
      <c r="A308" s="13">
        <f>IF(AND(ISNUMBER(G307),G307&gt;0.005),292,"")</f>
        <v/>
      </c>
      <c r="B308" s="14">
        <f>IF(A308="","",EDATE($B$7,291))</f>
        <v/>
      </c>
      <c r="C308" s="15">
        <f>IF(A308="","",MIN($B$9,G307+E308))</f>
        <v/>
      </c>
      <c r="D308" s="15">
        <f>IF(A308="","",C308-E308)</f>
        <v/>
      </c>
      <c r="E308" s="15">
        <f>IF(A308="","",G307*$B$5/12)</f>
        <v/>
      </c>
      <c r="F308" s="15">
        <f>IF(A308="","",MIN($B$8,G307+E308-C308))</f>
        <v/>
      </c>
      <c r="G308" s="15">
        <f>IF(A308="","",MAX(0,G307-D308-F308))</f>
        <v/>
      </c>
    </row>
    <row r="309">
      <c r="A309" s="13">
        <f>IF(AND(ISNUMBER(G308),G308&gt;0.005),293,"")</f>
        <v/>
      </c>
      <c r="B309" s="14">
        <f>IF(A309="","",EDATE($B$7,292))</f>
        <v/>
      </c>
      <c r="C309" s="15">
        <f>IF(A309="","",MIN($B$9,G308+E309))</f>
        <v/>
      </c>
      <c r="D309" s="15">
        <f>IF(A309="","",C309-E309)</f>
        <v/>
      </c>
      <c r="E309" s="15">
        <f>IF(A309="","",G308*$B$5/12)</f>
        <v/>
      </c>
      <c r="F309" s="15">
        <f>IF(A309="","",MIN($B$8,G308+E309-C309))</f>
        <v/>
      </c>
      <c r="G309" s="15">
        <f>IF(A309="","",MAX(0,G308-D309-F309))</f>
        <v/>
      </c>
    </row>
    <row r="310">
      <c r="A310" s="13">
        <f>IF(AND(ISNUMBER(G309),G309&gt;0.005),294,"")</f>
        <v/>
      </c>
      <c r="B310" s="14">
        <f>IF(A310="","",EDATE($B$7,293))</f>
        <v/>
      </c>
      <c r="C310" s="15">
        <f>IF(A310="","",MIN($B$9,G309+E310))</f>
        <v/>
      </c>
      <c r="D310" s="15">
        <f>IF(A310="","",C310-E310)</f>
        <v/>
      </c>
      <c r="E310" s="15">
        <f>IF(A310="","",G309*$B$5/12)</f>
        <v/>
      </c>
      <c r="F310" s="15">
        <f>IF(A310="","",MIN($B$8,G309+E310-C310))</f>
        <v/>
      </c>
      <c r="G310" s="15">
        <f>IF(A310="","",MAX(0,G309-D310-F310))</f>
        <v/>
      </c>
    </row>
    <row r="311">
      <c r="A311" s="13">
        <f>IF(AND(ISNUMBER(G310),G310&gt;0.005),295,"")</f>
        <v/>
      </c>
      <c r="B311" s="14">
        <f>IF(A311="","",EDATE($B$7,294))</f>
        <v/>
      </c>
      <c r="C311" s="15">
        <f>IF(A311="","",MIN($B$9,G310+E311))</f>
        <v/>
      </c>
      <c r="D311" s="15">
        <f>IF(A311="","",C311-E311)</f>
        <v/>
      </c>
      <c r="E311" s="15">
        <f>IF(A311="","",G310*$B$5/12)</f>
        <v/>
      </c>
      <c r="F311" s="15">
        <f>IF(A311="","",MIN($B$8,G310+E311-C311))</f>
        <v/>
      </c>
      <c r="G311" s="15">
        <f>IF(A311="","",MAX(0,G310-D311-F311))</f>
        <v/>
      </c>
    </row>
    <row r="312">
      <c r="A312" s="13">
        <f>IF(AND(ISNUMBER(G311),G311&gt;0.005),296,"")</f>
        <v/>
      </c>
      <c r="B312" s="14">
        <f>IF(A312="","",EDATE($B$7,295))</f>
        <v/>
      </c>
      <c r="C312" s="15">
        <f>IF(A312="","",MIN($B$9,G311+E312))</f>
        <v/>
      </c>
      <c r="D312" s="15">
        <f>IF(A312="","",C312-E312)</f>
        <v/>
      </c>
      <c r="E312" s="15">
        <f>IF(A312="","",G311*$B$5/12)</f>
        <v/>
      </c>
      <c r="F312" s="15">
        <f>IF(A312="","",MIN($B$8,G311+E312-C312))</f>
        <v/>
      </c>
      <c r="G312" s="15">
        <f>IF(A312="","",MAX(0,G311-D312-F312))</f>
        <v/>
      </c>
    </row>
    <row r="313">
      <c r="A313" s="13">
        <f>IF(AND(ISNUMBER(G312),G312&gt;0.005),297,"")</f>
        <v/>
      </c>
      <c r="B313" s="14">
        <f>IF(A313="","",EDATE($B$7,296))</f>
        <v/>
      </c>
      <c r="C313" s="15">
        <f>IF(A313="","",MIN($B$9,G312+E313))</f>
        <v/>
      </c>
      <c r="D313" s="15">
        <f>IF(A313="","",C313-E313)</f>
        <v/>
      </c>
      <c r="E313" s="15">
        <f>IF(A313="","",G312*$B$5/12)</f>
        <v/>
      </c>
      <c r="F313" s="15">
        <f>IF(A313="","",MIN($B$8,G312+E313-C313))</f>
        <v/>
      </c>
      <c r="G313" s="15">
        <f>IF(A313="","",MAX(0,G312-D313-F313))</f>
        <v/>
      </c>
    </row>
    <row r="314">
      <c r="A314" s="13">
        <f>IF(AND(ISNUMBER(G313),G313&gt;0.005),298,"")</f>
        <v/>
      </c>
      <c r="B314" s="14">
        <f>IF(A314="","",EDATE($B$7,297))</f>
        <v/>
      </c>
      <c r="C314" s="15">
        <f>IF(A314="","",MIN($B$9,G313+E314))</f>
        <v/>
      </c>
      <c r="D314" s="15">
        <f>IF(A314="","",C314-E314)</f>
        <v/>
      </c>
      <c r="E314" s="15">
        <f>IF(A314="","",G313*$B$5/12)</f>
        <v/>
      </c>
      <c r="F314" s="15">
        <f>IF(A314="","",MIN($B$8,G313+E314-C314))</f>
        <v/>
      </c>
      <c r="G314" s="15">
        <f>IF(A314="","",MAX(0,G313-D314-F314))</f>
        <v/>
      </c>
    </row>
    <row r="315">
      <c r="A315" s="13">
        <f>IF(AND(ISNUMBER(G314),G314&gt;0.005),299,"")</f>
        <v/>
      </c>
      <c r="B315" s="14">
        <f>IF(A315="","",EDATE($B$7,298))</f>
        <v/>
      </c>
      <c r="C315" s="15">
        <f>IF(A315="","",MIN($B$9,G314+E315))</f>
        <v/>
      </c>
      <c r="D315" s="15">
        <f>IF(A315="","",C315-E315)</f>
        <v/>
      </c>
      <c r="E315" s="15">
        <f>IF(A315="","",G314*$B$5/12)</f>
        <v/>
      </c>
      <c r="F315" s="15">
        <f>IF(A315="","",MIN($B$8,G314+E315-C315))</f>
        <v/>
      </c>
      <c r="G315" s="15">
        <f>IF(A315="","",MAX(0,G314-D315-F315))</f>
        <v/>
      </c>
    </row>
    <row r="316">
      <c r="A316" s="13">
        <f>IF(AND(ISNUMBER(G315),G315&gt;0.005),300,"")</f>
        <v/>
      </c>
      <c r="B316" s="14">
        <f>IF(A316="","",EDATE($B$7,299))</f>
        <v/>
      </c>
      <c r="C316" s="15">
        <f>IF(A316="","",MIN($B$9,G315+E316))</f>
        <v/>
      </c>
      <c r="D316" s="15">
        <f>IF(A316="","",C316-E316)</f>
        <v/>
      </c>
      <c r="E316" s="15">
        <f>IF(A316="","",G315*$B$5/12)</f>
        <v/>
      </c>
      <c r="F316" s="15">
        <f>IF(A316="","",MIN($B$8,G315+E316-C316))</f>
        <v/>
      </c>
      <c r="G316" s="15">
        <f>IF(A316="","",MAX(0,G315-D316-F316))</f>
        <v/>
      </c>
    </row>
    <row r="317">
      <c r="A317" s="13">
        <f>IF(AND(ISNUMBER(G316),G316&gt;0.005),301,"")</f>
        <v/>
      </c>
      <c r="B317" s="14">
        <f>IF(A317="","",EDATE($B$7,300))</f>
        <v/>
      </c>
      <c r="C317" s="15">
        <f>IF(A317="","",MIN($B$9,G316+E317))</f>
        <v/>
      </c>
      <c r="D317" s="15">
        <f>IF(A317="","",C317-E317)</f>
        <v/>
      </c>
      <c r="E317" s="15">
        <f>IF(A317="","",G316*$B$5/12)</f>
        <v/>
      </c>
      <c r="F317" s="15">
        <f>IF(A317="","",MIN($B$8,G316+E317-C317))</f>
        <v/>
      </c>
      <c r="G317" s="15">
        <f>IF(A317="","",MAX(0,G316-D317-F317))</f>
        <v/>
      </c>
    </row>
    <row r="318">
      <c r="A318" s="13">
        <f>IF(AND(ISNUMBER(G317),G317&gt;0.005),302,"")</f>
        <v/>
      </c>
      <c r="B318" s="14">
        <f>IF(A318="","",EDATE($B$7,301))</f>
        <v/>
      </c>
      <c r="C318" s="15">
        <f>IF(A318="","",MIN($B$9,G317+E318))</f>
        <v/>
      </c>
      <c r="D318" s="15">
        <f>IF(A318="","",C318-E318)</f>
        <v/>
      </c>
      <c r="E318" s="15">
        <f>IF(A318="","",G317*$B$5/12)</f>
        <v/>
      </c>
      <c r="F318" s="15">
        <f>IF(A318="","",MIN($B$8,G317+E318-C318))</f>
        <v/>
      </c>
      <c r="G318" s="15">
        <f>IF(A318="","",MAX(0,G317-D318-F318))</f>
        <v/>
      </c>
    </row>
    <row r="319">
      <c r="A319" s="13">
        <f>IF(AND(ISNUMBER(G318),G318&gt;0.005),303,"")</f>
        <v/>
      </c>
      <c r="B319" s="14">
        <f>IF(A319="","",EDATE($B$7,302))</f>
        <v/>
      </c>
      <c r="C319" s="15">
        <f>IF(A319="","",MIN($B$9,G318+E319))</f>
        <v/>
      </c>
      <c r="D319" s="15">
        <f>IF(A319="","",C319-E319)</f>
        <v/>
      </c>
      <c r="E319" s="15">
        <f>IF(A319="","",G318*$B$5/12)</f>
        <v/>
      </c>
      <c r="F319" s="15">
        <f>IF(A319="","",MIN($B$8,G318+E319-C319))</f>
        <v/>
      </c>
      <c r="G319" s="15">
        <f>IF(A319="","",MAX(0,G318-D319-F319))</f>
        <v/>
      </c>
    </row>
    <row r="320">
      <c r="A320" s="13">
        <f>IF(AND(ISNUMBER(G319),G319&gt;0.005),304,"")</f>
        <v/>
      </c>
      <c r="B320" s="14">
        <f>IF(A320="","",EDATE($B$7,303))</f>
        <v/>
      </c>
      <c r="C320" s="15">
        <f>IF(A320="","",MIN($B$9,G319+E320))</f>
        <v/>
      </c>
      <c r="D320" s="15">
        <f>IF(A320="","",C320-E320)</f>
        <v/>
      </c>
      <c r="E320" s="15">
        <f>IF(A320="","",G319*$B$5/12)</f>
        <v/>
      </c>
      <c r="F320" s="15">
        <f>IF(A320="","",MIN($B$8,G319+E320-C320))</f>
        <v/>
      </c>
      <c r="G320" s="15">
        <f>IF(A320="","",MAX(0,G319-D320-F320))</f>
        <v/>
      </c>
    </row>
    <row r="321">
      <c r="A321" s="13">
        <f>IF(AND(ISNUMBER(G320),G320&gt;0.005),305,"")</f>
        <v/>
      </c>
      <c r="B321" s="14">
        <f>IF(A321="","",EDATE($B$7,304))</f>
        <v/>
      </c>
      <c r="C321" s="15">
        <f>IF(A321="","",MIN($B$9,G320+E321))</f>
        <v/>
      </c>
      <c r="D321" s="15">
        <f>IF(A321="","",C321-E321)</f>
        <v/>
      </c>
      <c r="E321" s="15">
        <f>IF(A321="","",G320*$B$5/12)</f>
        <v/>
      </c>
      <c r="F321" s="15">
        <f>IF(A321="","",MIN($B$8,G320+E321-C321))</f>
        <v/>
      </c>
      <c r="G321" s="15">
        <f>IF(A321="","",MAX(0,G320-D321-F321))</f>
        <v/>
      </c>
    </row>
    <row r="322">
      <c r="A322" s="13">
        <f>IF(AND(ISNUMBER(G321),G321&gt;0.005),306,"")</f>
        <v/>
      </c>
      <c r="B322" s="14">
        <f>IF(A322="","",EDATE($B$7,305))</f>
        <v/>
      </c>
      <c r="C322" s="15">
        <f>IF(A322="","",MIN($B$9,G321+E322))</f>
        <v/>
      </c>
      <c r="D322" s="15">
        <f>IF(A322="","",C322-E322)</f>
        <v/>
      </c>
      <c r="E322" s="15">
        <f>IF(A322="","",G321*$B$5/12)</f>
        <v/>
      </c>
      <c r="F322" s="15">
        <f>IF(A322="","",MIN($B$8,G321+E322-C322))</f>
        <v/>
      </c>
      <c r="G322" s="15">
        <f>IF(A322="","",MAX(0,G321-D322-F322))</f>
        <v/>
      </c>
    </row>
    <row r="323">
      <c r="A323" s="13">
        <f>IF(AND(ISNUMBER(G322),G322&gt;0.005),307,"")</f>
        <v/>
      </c>
      <c r="B323" s="14">
        <f>IF(A323="","",EDATE($B$7,306))</f>
        <v/>
      </c>
      <c r="C323" s="15">
        <f>IF(A323="","",MIN($B$9,G322+E323))</f>
        <v/>
      </c>
      <c r="D323" s="15">
        <f>IF(A323="","",C323-E323)</f>
        <v/>
      </c>
      <c r="E323" s="15">
        <f>IF(A323="","",G322*$B$5/12)</f>
        <v/>
      </c>
      <c r="F323" s="15">
        <f>IF(A323="","",MIN($B$8,G322+E323-C323))</f>
        <v/>
      </c>
      <c r="G323" s="15">
        <f>IF(A323="","",MAX(0,G322-D323-F323))</f>
        <v/>
      </c>
    </row>
    <row r="324">
      <c r="A324" s="13">
        <f>IF(AND(ISNUMBER(G323),G323&gt;0.005),308,"")</f>
        <v/>
      </c>
      <c r="B324" s="14">
        <f>IF(A324="","",EDATE($B$7,307))</f>
        <v/>
      </c>
      <c r="C324" s="15">
        <f>IF(A324="","",MIN($B$9,G323+E324))</f>
        <v/>
      </c>
      <c r="D324" s="15">
        <f>IF(A324="","",C324-E324)</f>
        <v/>
      </c>
      <c r="E324" s="15">
        <f>IF(A324="","",G323*$B$5/12)</f>
        <v/>
      </c>
      <c r="F324" s="15">
        <f>IF(A324="","",MIN($B$8,G323+E324-C324))</f>
        <v/>
      </c>
      <c r="G324" s="15">
        <f>IF(A324="","",MAX(0,G323-D324-F324))</f>
        <v/>
      </c>
    </row>
    <row r="325">
      <c r="A325" s="13">
        <f>IF(AND(ISNUMBER(G324),G324&gt;0.005),309,"")</f>
        <v/>
      </c>
      <c r="B325" s="14">
        <f>IF(A325="","",EDATE($B$7,308))</f>
        <v/>
      </c>
      <c r="C325" s="15">
        <f>IF(A325="","",MIN($B$9,G324+E325))</f>
        <v/>
      </c>
      <c r="D325" s="15">
        <f>IF(A325="","",C325-E325)</f>
        <v/>
      </c>
      <c r="E325" s="15">
        <f>IF(A325="","",G324*$B$5/12)</f>
        <v/>
      </c>
      <c r="F325" s="15">
        <f>IF(A325="","",MIN($B$8,G324+E325-C325))</f>
        <v/>
      </c>
      <c r="G325" s="15">
        <f>IF(A325="","",MAX(0,G324-D325-F325))</f>
        <v/>
      </c>
    </row>
    <row r="326">
      <c r="A326" s="13">
        <f>IF(AND(ISNUMBER(G325),G325&gt;0.005),310,"")</f>
        <v/>
      </c>
      <c r="B326" s="14">
        <f>IF(A326="","",EDATE($B$7,309))</f>
        <v/>
      </c>
      <c r="C326" s="15">
        <f>IF(A326="","",MIN($B$9,G325+E326))</f>
        <v/>
      </c>
      <c r="D326" s="15">
        <f>IF(A326="","",C326-E326)</f>
        <v/>
      </c>
      <c r="E326" s="15">
        <f>IF(A326="","",G325*$B$5/12)</f>
        <v/>
      </c>
      <c r="F326" s="15">
        <f>IF(A326="","",MIN($B$8,G325+E326-C326))</f>
        <v/>
      </c>
      <c r="G326" s="15">
        <f>IF(A326="","",MAX(0,G325-D326-F326))</f>
        <v/>
      </c>
    </row>
    <row r="327">
      <c r="A327" s="13">
        <f>IF(AND(ISNUMBER(G326),G326&gt;0.005),311,"")</f>
        <v/>
      </c>
      <c r="B327" s="14">
        <f>IF(A327="","",EDATE($B$7,310))</f>
        <v/>
      </c>
      <c r="C327" s="15">
        <f>IF(A327="","",MIN($B$9,G326+E327))</f>
        <v/>
      </c>
      <c r="D327" s="15">
        <f>IF(A327="","",C327-E327)</f>
        <v/>
      </c>
      <c r="E327" s="15">
        <f>IF(A327="","",G326*$B$5/12)</f>
        <v/>
      </c>
      <c r="F327" s="15">
        <f>IF(A327="","",MIN($B$8,G326+E327-C327))</f>
        <v/>
      </c>
      <c r="G327" s="15">
        <f>IF(A327="","",MAX(0,G326-D327-F327))</f>
        <v/>
      </c>
    </row>
    <row r="328">
      <c r="A328" s="13">
        <f>IF(AND(ISNUMBER(G327),G327&gt;0.005),312,"")</f>
        <v/>
      </c>
      <c r="B328" s="14">
        <f>IF(A328="","",EDATE($B$7,311))</f>
        <v/>
      </c>
      <c r="C328" s="15">
        <f>IF(A328="","",MIN($B$9,G327+E328))</f>
        <v/>
      </c>
      <c r="D328" s="15">
        <f>IF(A328="","",C328-E328)</f>
        <v/>
      </c>
      <c r="E328" s="15">
        <f>IF(A328="","",G327*$B$5/12)</f>
        <v/>
      </c>
      <c r="F328" s="15">
        <f>IF(A328="","",MIN($B$8,G327+E328-C328))</f>
        <v/>
      </c>
      <c r="G328" s="15">
        <f>IF(A328="","",MAX(0,G327-D328-F328))</f>
        <v/>
      </c>
    </row>
    <row r="329">
      <c r="A329" s="13">
        <f>IF(AND(ISNUMBER(G328),G328&gt;0.005),313,"")</f>
        <v/>
      </c>
      <c r="B329" s="14">
        <f>IF(A329="","",EDATE($B$7,312))</f>
        <v/>
      </c>
      <c r="C329" s="15">
        <f>IF(A329="","",MIN($B$9,G328+E329))</f>
        <v/>
      </c>
      <c r="D329" s="15">
        <f>IF(A329="","",C329-E329)</f>
        <v/>
      </c>
      <c r="E329" s="15">
        <f>IF(A329="","",G328*$B$5/12)</f>
        <v/>
      </c>
      <c r="F329" s="15">
        <f>IF(A329="","",MIN($B$8,G328+E329-C329))</f>
        <v/>
      </c>
      <c r="G329" s="15">
        <f>IF(A329="","",MAX(0,G328-D329-F329))</f>
        <v/>
      </c>
    </row>
    <row r="330">
      <c r="A330" s="13">
        <f>IF(AND(ISNUMBER(G329),G329&gt;0.005),314,"")</f>
        <v/>
      </c>
      <c r="B330" s="14">
        <f>IF(A330="","",EDATE($B$7,313))</f>
        <v/>
      </c>
      <c r="C330" s="15">
        <f>IF(A330="","",MIN($B$9,G329+E330))</f>
        <v/>
      </c>
      <c r="D330" s="15">
        <f>IF(A330="","",C330-E330)</f>
        <v/>
      </c>
      <c r="E330" s="15">
        <f>IF(A330="","",G329*$B$5/12)</f>
        <v/>
      </c>
      <c r="F330" s="15">
        <f>IF(A330="","",MIN($B$8,G329+E330-C330))</f>
        <v/>
      </c>
      <c r="G330" s="15">
        <f>IF(A330="","",MAX(0,G329-D330-F330))</f>
        <v/>
      </c>
    </row>
    <row r="331">
      <c r="A331" s="13">
        <f>IF(AND(ISNUMBER(G330),G330&gt;0.005),315,"")</f>
        <v/>
      </c>
      <c r="B331" s="14">
        <f>IF(A331="","",EDATE($B$7,314))</f>
        <v/>
      </c>
      <c r="C331" s="15">
        <f>IF(A331="","",MIN($B$9,G330+E331))</f>
        <v/>
      </c>
      <c r="D331" s="15">
        <f>IF(A331="","",C331-E331)</f>
        <v/>
      </c>
      <c r="E331" s="15">
        <f>IF(A331="","",G330*$B$5/12)</f>
        <v/>
      </c>
      <c r="F331" s="15">
        <f>IF(A331="","",MIN($B$8,G330+E331-C331))</f>
        <v/>
      </c>
      <c r="G331" s="15">
        <f>IF(A331="","",MAX(0,G330-D331-F331))</f>
        <v/>
      </c>
    </row>
    <row r="332">
      <c r="A332" s="13">
        <f>IF(AND(ISNUMBER(G331),G331&gt;0.005),316,"")</f>
        <v/>
      </c>
      <c r="B332" s="14">
        <f>IF(A332="","",EDATE($B$7,315))</f>
        <v/>
      </c>
      <c r="C332" s="15">
        <f>IF(A332="","",MIN($B$9,G331+E332))</f>
        <v/>
      </c>
      <c r="D332" s="15">
        <f>IF(A332="","",C332-E332)</f>
        <v/>
      </c>
      <c r="E332" s="15">
        <f>IF(A332="","",G331*$B$5/12)</f>
        <v/>
      </c>
      <c r="F332" s="15">
        <f>IF(A332="","",MIN($B$8,G331+E332-C332))</f>
        <v/>
      </c>
      <c r="G332" s="15">
        <f>IF(A332="","",MAX(0,G331-D332-F332))</f>
        <v/>
      </c>
    </row>
    <row r="333">
      <c r="A333" s="13">
        <f>IF(AND(ISNUMBER(G332),G332&gt;0.005),317,"")</f>
        <v/>
      </c>
      <c r="B333" s="14">
        <f>IF(A333="","",EDATE($B$7,316))</f>
        <v/>
      </c>
      <c r="C333" s="15">
        <f>IF(A333="","",MIN($B$9,G332+E333))</f>
        <v/>
      </c>
      <c r="D333" s="15">
        <f>IF(A333="","",C333-E333)</f>
        <v/>
      </c>
      <c r="E333" s="15">
        <f>IF(A333="","",G332*$B$5/12)</f>
        <v/>
      </c>
      <c r="F333" s="15">
        <f>IF(A333="","",MIN($B$8,G332+E333-C333))</f>
        <v/>
      </c>
      <c r="G333" s="15">
        <f>IF(A333="","",MAX(0,G332-D333-F333))</f>
        <v/>
      </c>
    </row>
    <row r="334">
      <c r="A334" s="13">
        <f>IF(AND(ISNUMBER(G333),G333&gt;0.005),318,"")</f>
        <v/>
      </c>
      <c r="B334" s="14">
        <f>IF(A334="","",EDATE($B$7,317))</f>
        <v/>
      </c>
      <c r="C334" s="15">
        <f>IF(A334="","",MIN($B$9,G333+E334))</f>
        <v/>
      </c>
      <c r="D334" s="15">
        <f>IF(A334="","",C334-E334)</f>
        <v/>
      </c>
      <c r="E334" s="15">
        <f>IF(A334="","",G333*$B$5/12)</f>
        <v/>
      </c>
      <c r="F334" s="15">
        <f>IF(A334="","",MIN($B$8,G333+E334-C334))</f>
        <v/>
      </c>
      <c r="G334" s="15">
        <f>IF(A334="","",MAX(0,G333-D334-F334))</f>
        <v/>
      </c>
    </row>
    <row r="335">
      <c r="A335" s="13">
        <f>IF(AND(ISNUMBER(G334),G334&gt;0.005),319,"")</f>
        <v/>
      </c>
      <c r="B335" s="14">
        <f>IF(A335="","",EDATE($B$7,318))</f>
        <v/>
      </c>
      <c r="C335" s="15">
        <f>IF(A335="","",MIN($B$9,G334+E335))</f>
        <v/>
      </c>
      <c r="D335" s="15">
        <f>IF(A335="","",C335-E335)</f>
        <v/>
      </c>
      <c r="E335" s="15">
        <f>IF(A335="","",G334*$B$5/12)</f>
        <v/>
      </c>
      <c r="F335" s="15">
        <f>IF(A335="","",MIN($B$8,G334+E335-C335))</f>
        <v/>
      </c>
      <c r="G335" s="15">
        <f>IF(A335="","",MAX(0,G334-D335-F335))</f>
        <v/>
      </c>
    </row>
    <row r="336">
      <c r="A336" s="13">
        <f>IF(AND(ISNUMBER(G335),G335&gt;0.005),320,"")</f>
        <v/>
      </c>
      <c r="B336" s="14">
        <f>IF(A336="","",EDATE($B$7,319))</f>
        <v/>
      </c>
      <c r="C336" s="15">
        <f>IF(A336="","",MIN($B$9,G335+E336))</f>
        <v/>
      </c>
      <c r="D336" s="15">
        <f>IF(A336="","",C336-E336)</f>
        <v/>
      </c>
      <c r="E336" s="15">
        <f>IF(A336="","",G335*$B$5/12)</f>
        <v/>
      </c>
      <c r="F336" s="15">
        <f>IF(A336="","",MIN($B$8,G335+E336-C336))</f>
        <v/>
      </c>
      <c r="G336" s="15">
        <f>IF(A336="","",MAX(0,G335-D336-F336))</f>
        <v/>
      </c>
    </row>
    <row r="337">
      <c r="A337" s="13">
        <f>IF(AND(ISNUMBER(G336),G336&gt;0.005),321,"")</f>
        <v/>
      </c>
      <c r="B337" s="14">
        <f>IF(A337="","",EDATE($B$7,320))</f>
        <v/>
      </c>
      <c r="C337" s="15">
        <f>IF(A337="","",MIN($B$9,G336+E337))</f>
        <v/>
      </c>
      <c r="D337" s="15">
        <f>IF(A337="","",C337-E337)</f>
        <v/>
      </c>
      <c r="E337" s="15">
        <f>IF(A337="","",G336*$B$5/12)</f>
        <v/>
      </c>
      <c r="F337" s="15">
        <f>IF(A337="","",MIN($B$8,G336+E337-C337))</f>
        <v/>
      </c>
      <c r="G337" s="15">
        <f>IF(A337="","",MAX(0,G336-D337-F337))</f>
        <v/>
      </c>
    </row>
    <row r="338">
      <c r="A338" s="13">
        <f>IF(AND(ISNUMBER(G337),G337&gt;0.005),322,"")</f>
        <v/>
      </c>
      <c r="B338" s="14">
        <f>IF(A338="","",EDATE($B$7,321))</f>
        <v/>
      </c>
      <c r="C338" s="15">
        <f>IF(A338="","",MIN($B$9,G337+E338))</f>
        <v/>
      </c>
      <c r="D338" s="15">
        <f>IF(A338="","",C338-E338)</f>
        <v/>
      </c>
      <c r="E338" s="15">
        <f>IF(A338="","",G337*$B$5/12)</f>
        <v/>
      </c>
      <c r="F338" s="15">
        <f>IF(A338="","",MIN($B$8,G337+E338-C338))</f>
        <v/>
      </c>
      <c r="G338" s="15">
        <f>IF(A338="","",MAX(0,G337-D338-F338))</f>
        <v/>
      </c>
    </row>
    <row r="339">
      <c r="A339" s="13">
        <f>IF(AND(ISNUMBER(G338),G338&gt;0.005),323,"")</f>
        <v/>
      </c>
      <c r="B339" s="14">
        <f>IF(A339="","",EDATE($B$7,322))</f>
        <v/>
      </c>
      <c r="C339" s="15">
        <f>IF(A339="","",MIN($B$9,G338+E339))</f>
        <v/>
      </c>
      <c r="D339" s="15">
        <f>IF(A339="","",C339-E339)</f>
        <v/>
      </c>
      <c r="E339" s="15">
        <f>IF(A339="","",G338*$B$5/12)</f>
        <v/>
      </c>
      <c r="F339" s="15">
        <f>IF(A339="","",MIN($B$8,G338+E339-C339))</f>
        <v/>
      </c>
      <c r="G339" s="15">
        <f>IF(A339="","",MAX(0,G338-D339-F339))</f>
        <v/>
      </c>
    </row>
    <row r="340">
      <c r="A340" s="13">
        <f>IF(AND(ISNUMBER(G339),G339&gt;0.005),324,"")</f>
        <v/>
      </c>
      <c r="B340" s="14">
        <f>IF(A340="","",EDATE($B$7,323))</f>
        <v/>
      </c>
      <c r="C340" s="15">
        <f>IF(A340="","",MIN($B$9,G339+E340))</f>
        <v/>
      </c>
      <c r="D340" s="15">
        <f>IF(A340="","",C340-E340)</f>
        <v/>
      </c>
      <c r="E340" s="15">
        <f>IF(A340="","",G339*$B$5/12)</f>
        <v/>
      </c>
      <c r="F340" s="15">
        <f>IF(A340="","",MIN($B$8,G339+E340-C340))</f>
        <v/>
      </c>
      <c r="G340" s="15">
        <f>IF(A340="","",MAX(0,G339-D340-F340))</f>
        <v/>
      </c>
    </row>
    <row r="341">
      <c r="A341" s="13">
        <f>IF(AND(ISNUMBER(G340),G340&gt;0.005),325,"")</f>
        <v/>
      </c>
      <c r="B341" s="14">
        <f>IF(A341="","",EDATE($B$7,324))</f>
        <v/>
      </c>
      <c r="C341" s="15">
        <f>IF(A341="","",MIN($B$9,G340+E341))</f>
        <v/>
      </c>
      <c r="D341" s="15">
        <f>IF(A341="","",C341-E341)</f>
        <v/>
      </c>
      <c r="E341" s="15">
        <f>IF(A341="","",G340*$B$5/12)</f>
        <v/>
      </c>
      <c r="F341" s="15">
        <f>IF(A341="","",MIN($B$8,G340+E341-C341))</f>
        <v/>
      </c>
      <c r="G341" s="15">
        <f>IF(A341="","",MAX(0,G340-D341-F341))</f>
        <v/>
      </c>
    </row>
    <row r="342">
      <c r="A342" s="13">
        <f>IF(AND(ISNUMBER(G341),G341&gt;0.005),326,"")</f>
        <v/>
      </c>
      <c r="B342" s="14">
        <f>IF(A342="","",EDATE($B$7,325))</f>
        <v/>
      </c>
      <c r="C342" s="15">
        <f>IF(A342="","",MIN($B$9,G341+E342))</f>
        <v/>
      </c>
      <c r="D342" s="15">
        <f>IF(A342="","",C342-E342)</f>
        <v/>
      </c>
      <c r="E342" s="15">
        <f>IF(A342="","",G341*$B$5/12)</f>
        <v/>
      </c>
      <c r="F342" s="15">
        <f>IF(A342="","",MIN($B$8,G341+E342-C342))</f>
        <v/>
      </c>
      <c r="G342" s="15">
        <f>IF(A342="","",MAX(0,G341-D342-F342))</f>
        <v/>
      </c>
    </row>
    <row r="343">
      <c r="A343" s="13">
        <f>IF(AND(ISNUMBER(G342),G342&gt;0.005),327,"")</f>
        <v/>
      </c>
      <c r="B343" s="14">
        <f>IF(A343="","",EDATE($B$7,326))</f>
        <v/>
      </c>
      <c r="C343" s="15">
        <f>IF(A343="","",MIN($B$9,G342+E343))</f>
        <v/>
      </c>
      <c r="D343" s="15">
        <f>IF(A343="","",C343-E343)</f>
        <v/>
      </c>
      <c r="E343" s="15">
        <f>IF(A343="","",G342*$B$5/12)</f>
        <v/>
      </c>
      <c r="F343" s="15">
        <f>IF(A343="","",MIN($B$8,G342+E343-C343))</f>
        <v/>
      </c>
      <c r="G343" s="15">
        <f>IF(A343="","",MAX(0,G342-D343-F343))</f>
        <v/>
      </c>
    </row>
    <row r="344">
      <c r="A344" s="13">
        <f>IF(AND(ISNUMBER(G343),G343&gt;0.005),328,"")</f>
        <v/>
      </c>
      <c r="B344" s="14">
        <f>IF(A344="","",EDATE($B$7,327))</f>
        <v/>
      </c>
      <c r="C344" s="15">
        <f>IF(A344="","",MIN($B$9,G343+E344))</f>
        <v/>
      </c>
      <c r="D344" s="15">
        <f>IF(A344="","",C344-E344)</f>
        <v/>
      </c>
      <c r="E344" s="15">
        <f>IF(A344="","",G343*$B$5/12)</f>
        <v/>
      </c>
      <c r="F344" s="15">
        <f>IF(A344="","",MIN($B$8,G343+E344-C344))</f>
        <v/>
      </c>
      <c r="G344" s="15">
        <f>IF(A344="","",MAX(0,G343-D344-F344))</f>
        <v/>
      </c>
    </row>
    <row r="345">
      <c r="A345" s="13">
        <f>IF(AND(ISNUMBER(G344),G344&gt;0.005),329,"")</f>
        <v/>
      </c>
      <c r="B345" s="14">
        <f>IF(A345="","",EDATE($B$7,328))</f>
        <v/>
      </c>
      <c r="C345" s="15">
        <f>IF(A345="","",MIN($B$9,G344+E345))</f>
        <v/>
      </c>
      <c r="D345" s="15">
        <f>IF(A345="","",C345-E345)</f>
        <v/>
      </c>
      <c r="E345" s="15">
        <f>IF(A345="","",G344*$B$5/12)</f>
        <v/>
      </c>
      <c r="F345" s="15">
        <f>IF(A345="","",MIN($B$8,G344+E345-C345))</f>
        <v/>
      </c>
      <c r="G345" s="15">
        <f>IF(A345="","",MAX(0,G344-D345-F345))</f>
        <v/>
      </c>
    </row>
    <row r="346">
      <c r="A346" s="13">
        <f>IF(AND(ISNUMBER(G345),G345&gt;0.005),330,"")</f>
        <v/>
      </c>
      <c r="B346" s="14">
        <f>IF(A346="","",EDATE($B$7,329))</f>
        <v/>
      </c>
      <c r="C346" s="15">
        <f>IF(A346="","",MIN($B$9,G345+E346))</f>
        <v/>
      </c>
      <c r="D346" s="15">
        <f>IF(A346="","",C346-E346)</f>
        <v/>
      </c>
      <c r="E346" s="15">
        <f>IF(A346="","",G345*$B$5/12)</f>
        <v/>
      </c>
      <c r="F346" s="15">
        <f>IF(A346="","",MIN($B$8,G345+E346-C346))</f>
        <v/>
      </c>
      <c r="G346" s="15">
        <f>IF(A346="","",MAX(0,G345-D346-F346))</f>
        <v/>
      </c>
    </row>
    <row r="347">
      <c r="A347" s="13">
        <f>IF(AND(ISNUMBER(G346),G346&gt;0.005),331,"")</f>
        <v/>
      </c>
      <c r="B347" s="14">
        <f>IF(A347="","",EDATE($B$7,330))</f>
        <v/>
      </c>
      <c r="C347" s="15">
        <f>IF(A347="","",MIN($B$9,G346+E347))</f>
        <v/>
      </c>
      <c r="D347" s="15">
        <f>IF(A347="","",C347-E347)</f>
        <v/>
      </c>
      <c r="E347" s="15">
        <f>IF(A347="","",G346*$B$5/12)</f>
        <v/>
      </c>
      <c r="F347" s="15">
        <f>IF(A347="","",MIN($B$8,G346+E347-C347))</f>
        <v/>
      </c>
      <c r="G347" s="15">
        <f>IF(A347="","",MAX(0,G346-D347-F347))</f>
        <v/>
      </c>
    </row>
    <row r="348">
      <c r="A348" s="13">
        <f>IF(AND(ISNUMBER(G347),G347&gt;0.005),332,"")</f>
        <v/>
      </c>
      <c r="B348" s="14">
        <f>IF(A348="","",EDATE($B$7,331))</f>
        <v/>
      </c>
      <c r="C348" s="15">
        <f>IF(A348="","",MIN($B$9,G347+E348))</f>
        <v/>
      </c>
      <c r="D348" s="15">
        <f>IF(A348="","",C348-E348)</f>
        <v/>
      </c>
      <c r="E348" s="15">
        <f>IF(A348="","",G347*$B$5/12)</f>
        <v/>
      </c>
      <c r="F348" s="15">
        <f>IF(A348="","",MIN($B$8,G347+E348-C348))</f>
        <v/>
      </c>
      <c r="G348" s="15">
        <f>IF(A348="","",MAX(0,G347-D348-F348))</f>
        <v/>
      </c>
    </row>
    <row r="349">
      <c r="A349" s="13">
        <f>IF(AND(ISNUMBER(G348),G348&gt;0.005),333,"")</f>
        <v/>
      </c>
      <c r="B349" s="14">
        <f>IF(A349="","",EDATE($B$7,332))</f>
        <v/>
      </c>
      <c r="C349" s="15">
        <f>IF(A349="","",MIN($B$9,G348+E349))</f>
        <v/>
      </c>
      <c r="D349" s="15">
        <f>IF(A349="","",C349-E349)</f>
        <v/>
      </c>
      <c r="E349" s="15">
        <f>IF(A349="","",G348*$B$5/12)</f>
        <v/>
      </c>
      <c r="F349" s="15">
        <f>IF(A349="","",MIN($B$8,G348+E349-C349))</f>
        <v/>
      </c>
      <c r="G349" s="15">
        <f>IF(A349="","",MAX(0,G348-D349-F349))</f>
        <v/>
      </c>
    </row>
    <row r="350">
      <c r="A350" s="13">
        <f>IF(AND(ISNUMBER(G349),G349&gt;0.005),334,"")</f>
        <v/>
      </c>
      <c r="B350" s="14">
        <f>IF(A350="","",EDATE($B$7,333))</f>
        <v/>
      </c>
      <c r="C350" s="15">
        <f>IF(A350="","",MIN($B$9,G349+E350))</f>
        <v/>
      </c>
      <c r="D350" s="15">
        <f>IF(A350="","",C350-E350)</f>
        <v/>
      </c>
      <c r="E350" s="15">
        <f>IF(A350="","",G349*$B$5/12)</f>
        <v/>
      </c>
      <c r="F350" s="15">
        <f>IF(A350="","",MIN($B$8,G349+E350-C350))</f>
        <v/>
      </c>
      <c r="G350" s="15">
        <f>IF(A350="","",MAX(0,G349-D350-F350))</f>
        <v/>
      </c>
    </row>
    <row r="351">
      <c r="A351" s="13">
        <f>IF(AND(ISNUMBER(G350),G350&gt;0.005),335,"")</f>
        <v/>
      </c>
      <c r="B351" s="14">
        <f>IF(A351="","",EDATE($B$7,334))</f>
        <v/>
      </c>
      <c r="C351" s="15">
        <f>IF(A351="","",MIN($B$9,G350+E351))</f>
        <v/>
      </c>
      <c r="D351" s="15">
        <f>IF(A351="","",C351-E351)</f>
        <v/>
      </c>
      <c r="E351" s="15">
        <f>IF(A351="","",G350*$B$5/12)</f>
        <v/>
      </c>
      <c r="F351" s="15">
        <f>IF(A351="","",MIN($B$8,G350+E351-C351))</f>
        <v/>
      </c>
      <c r="G351" s="15">
        <f>IF(A351="","",MAX(0,G350-D351-F351))</f>
        <v/>
      </c>
    </row>
    <row r="352">
      <c r="A352" s="13">
        <f>IF(AND(ISNUMBER(G351),G351&gt;0.005),336,"")</f>
        <v/>
      </c>
      <c r="B352" s="14">
        <f>IF(A352="","",EDATE($B$7,335))</f>
        <v/>
      </c>
      <c r="C352" s="15">
        <f>IF(A352="","",MIN($B$9,G351+E352))</f>
        <v/>
      </c>
      <c r="D352" s="15">
        <f>IF(A352="","",C352-E352)</f>
        <v/>
      </c>
      <c r="E352" s="15">
        <f>IF(A352="","",G351*$B$5/12)</f>
        <v/>
      </c>
      <c r="F352" s="15">
        <f>IF(A352="","",MIN($B$8,G351+E352-C352))</f>
        <v/>
      </c>
      <c r="G352" s="15">
        <f>IF(A352="","",MAX(0,G351-D352-F352))</f>
        <v/>
      </c>
    </row>
    <row r="353">
      <c r="A353" s="13">
        <f>IF(AND(ISNUMBER(G352),G352&gt;0.005),337,"")</f>
        <v/>
      </c>
      <c r="B353" s="14">
        <f>IF(A353="","",EDATE($B$7,336))</f>
        <v/>
      </c>
      <c r="C353" s="15">
        <f>IF(A353="","",MIN($B$9,G352+E353))</f>
        <v/>
      </c>
      <c r="D353" s="15">
        <f>IF(A353="","",C353-E353)</f>
        <v/>
      </c>
      <c r="E353" s="15">
        <f>IF(A353="","",G352*$B$5/12)</f>
        <v/>
      </c>
      <c r="F353" s="15">
        <f>IF(A353="","",MIN($B$8,G352+E353-C353))</f>
        <v/>
      </c>
      <c r="G353" s="15">
        <f>IF(A353="","",MAX(0,G352-D353-F353))</f>
        <v/>
      </c>
    </row>
    <row r="354">
      <c r="A354" s="13">
        <f>IF(AND(ISNUMBER(G353),G353&gt;0.005),338,"")</f>
        <v/>
      </c>
      <c r="B354" s="14">
        <f>IF(A354="","",EDATE($B$7,337))</f>
        <v/>
      </c>
      <c r="C354" s="15">
        <f>IF(A354="","",MIN($B$9,G353+E354))</f>
        <v/>
      </c>
      <c r="D354" s="15">
        <f>IF(A354="","",C354-E354)</f>
        <v/>
      </c>
      <c r="E354" s="15">
        <f>IF(A354="","",G353*$B$5/12)</f>
        <v/>
      </c>
      <c r="F354" s="15">
        <f>IF(A354="","",MIN($B$8,G353+E354-C354))</f>
        <v/>
      </c>
      <c r="G354" s="15">
        <f>IF(A354="","",MAX(0,G353-D354-F354))</f>
        <v/>
      </c>
    </row>
    <row r="355">
      <c r="A355" s="13">
        <f>IF(AND(ISNUMBER(G354),G354&gt;0.005),339,"")</f>
        <v/>
      </c>
      <c r="B355" s="14">
        <f>IF(A355="","",EDATE($B$7,338))</f>
        <v/>
      </c>
      <c r="C355" s="15">
        <f>IF(A355="","",MIN($B$9,G354+E355))</f>
        <v/>
      </c>
      <c r="D355" s="15">
        <f>IF(A355="","",C355-E355)</f>
        <v/>
      </c>
      <c r="E355" s="15">
        <f>IF(A355="","",G354*$B$5/12)</f>
        <v/>
      </c>
      <c r="F355" s="15">
        <f>IF(A355="","",MIN($B$8,G354+E355-C355))</f>
        <v/>
      </c>
      <c r="G355" s="15">
        <f>IF(A355="","",MAX(0,G354-D355-F355))</f>
        <v/>
      </c>
    </row>
    <row r="356">
      <c r="A356" s="13">
        <f>IF(AND(ISNUMBER(G355),G355&gt;0.005),340,"")</f>
        <v/>
      </c>
      <c r="B356" s="14">
        <f>IF(A356="","",EDATE($B$7,339))</f>
        <v/>
      </c>
      <c r="C356" s="15">
        <f>IF(A356="","",MIN($B$9,G355+E356))</f>
        <v/>
      </c>
      <c r="D356" s="15">
        <f>IF(A356="","",C356-E356)</f>
        <v/>
      </c>
      <c r="E356" s="15">
        <f>IF(A356="","",G355*$B$5/12)</f>
        <v/>
      </c>
      <c r="F356" s="15">
        <f>IF(A356="","",MIN($B$8,G355+E356-C356))</f>
        <v/>
      </c>
      <c r="G356" s="15">
        <f>IF(A356="","",MAX(0,G355-D356-F356))</f>
        <v/>
      </c>
    </row>
    <row r="357">
      <c r="A357" s="13">
        <f>IF(AND(ISNUMBER(G356),G356&gt;0.005),341,"")</f>
        <v/>
      </c>
      <c r="B357" s="14">
        <f>IF(A357="","",EDATE($B$7,340))</f>
        <v/>
      </c>
      <c r="C357" s="15">
        <f>IF(A357="","",MIN($B$9,G356+E357))</f>
        <v/>
      </c>
      <c r="D357" s="15">
        <f>IF(A357="","",C357-E357)</f>
        <v/>
      </c>
      <c r="E357" s="15">
        <f>IF(A357="","",G356*$B$5/12)</f>
        <v/>
      </c>
      <c r="F357" s="15">
        <f>IF(A357="","",MIN($B$8,G356+E357-C357))</f>
        <v/>
      </c>
      <c r="G357" s="15">
        <f>IF(A357="","",MAX(0,G356-D357-F357))</f>
        <v/>
      </c>
    </row>
    <row r="358">
      <c r="A358" s="13">
        <f>IF(AND(ISNUMBER(G357),G357&gt;0.005),342,"")</f>
        <v/>
      </c>
      <c r="B358" s="14">
        <f>IF(A358="","",EDATE($B$7,341))</f>
        <v/>
      </c>
      <c r="C358" s="15">
        <f>IF(A358="","",MIN($B$9,G357+E358))</f>
        <v/>
      </c>
      <c r="D358" s="15">
        <f>IF(A358="","",C358-E358)</f>
        <v/>
      </c>
      <c r="E358" s="15">
        <f>IF(A358="","",G357*$B$5/12)</f>
        <v/>
      </c>
      <c r="F358" s="15">
        <f>IF(A358="","",MIN($B$8,G357+E358-C358))</f>
        <v/>
      </c>
      <c r="G358" s="15">
        <f>IF(A358="","",MAX(0,G357-D358-F358))</f>
        <v/>
      </c>
    </row>
    <row r="359">
      <c r="A359" s="13">
        <f>IF(AND(ISNUMBER(G358),G358&gt;0.005),343,"")</f>
        <v/>
      </c>
      <c r="B359" s="14">
        <f>IF(A359="","",EDATE($B$7,342))</f>
        <v/>
      </c>
      <c r="C359" s="15">
        <f>IF(A359="","",MIN($B$9,G358+E359))</f>
        <v/>
      </c>
      <c r="D359" s="15">
        <f>IF(A359="","",C359-E359)</f>
        <v/>
      </c>
      <c r="E359" s="15">
        <f>IF(A359="","",G358*$B$5/12)</f>
        <v/>
      </c>
      <c r="F359" s="15">
        <f>IF(A359="","",MIN($B$8,G358+E359-C359))</f>
        <v/>
      </c>
      <c r="G359" s="15">
        <f>IF(A359="","",MAX(0,G358-D359-F359))</f>
        <v/>
      </c>
    </row>
    <row r="360">
      <c r="A360" s="13">
        <f>IF(AND(ISNUMBER(G359),G359&gt;0.005),344,"")</f>
        <v/>
      </c>
      <c r="B360" s="14">
        <f>IF(A360="","",EDATE($B$7,343))</f>
        <v/>
      </c>
      <c r="C360" s="15">
        <f>IF(A360="","",MIN($B$9,G359+E360))</f>
        <v/>
      </c>
      <c r="D360" s="15">
        <f>IF(A360="","",C360-E360)</f>
        <v/>
      </c>
      <c r="E360" s="15">
        <f>IF(A360="","",G359*$B$5/12)</f>
        <v/>
      </c>
      <c r="F360" s="15">
        <f>IF(A360="","",MIN($B$8,G359+E360-C360))</f>
        <v/>
      </c>
      <c r="G360" s="15">
        <f>IF(A360="","",MAX(0,G359-D360-F360))</f>
        <v/>
      </c>
    </row>
    <row r="361">
      <c r="A361" s="13">
        <f>IF(AND(ISNUMBER(G360),G360&gt;0.005),345,"")</f>
        <v/>
      </c>
      <c r="B361" s="14">
        <f>IF(A361="","",EDATE($B$7,344))</f>
        <v/>
      </c>
      <c r="C361" s="15">
        <f>IF(A361="","",MIN($B$9,G360+E361))</f>
        <v/>
      </c>
      <c r="D361" s="15">
        <f>IF(A361="","",C361-E361)</f>
        <v/>
      </c>
      <c r="E361" s="15">
        <f>IF(A361="","",G360*$B$5/12)</f>
        <v/>
      </c>
      <c r="F361" s="15">
        <f>IF(A361="","",MIN($B$8,G360+E361-C361))</f>
        <v/>
      </c>
      <c r="G361" s="15">
        <f>IF(A361="","",MAX(0,G360-D361-F361))</f>
        <v/>
      </c>
    </row>
    <row r="362">
      <c r="A362" s="13">
        <f>IF(AND(ISNUMBER(G361),G361&gt;0.005),346,"")</f>
        <v/>
      </c>
      <c r="B362" s="14">
        <f>IF(A362="","",EDATE($B$7,345))</f>
        <v/>
      </c>
      <c r="C362" s="15">
        <f>IF(A362="","",MIN($B$9,G361+E362))</f>
        <v/>
      </c>
      <c r="D362" s="15">
        <f>IF(A362="","",C362-E362)</f>
        <v/>
      </c>
      <c r="E362" s="15">
        <f>IF(A362="","",G361*$B$5/12)</f>
        <v/>
      </c>
      <c r="F362" s="15">
        <f>IF(A362="","",MIN($B$8,G361+E362-C362))</f>
        <v/>
      </c>
      <c r="G362" s="15">
        <f>IF(A362="","",MAX(0,G361-D362-F362))</f>
        <v/>
      </c>
    </row>
    <row r="363">
      <c r="A363" s="13">
        <f>IF(AND(ISNUMBER(G362),G362&gt;0.005),347,"")</f>
        <v/>
      </c>
      <c r="B363" s="14">
        <f>IF(A363="","",EDATE($B$7,346))</f>
        <v/>
      </c>
      <c r="C363" s="15">
        <f>IF(A363="","",MIN($B$9,G362+E363))</f>
        <v/>
      </c>
      <c r="D363" s="15">
        <f>IF(A363="","",C363-E363)</f>
        <v/>
      </c>
      <c r="E363" s="15">
        <f>IF(A363="","",G362*$B$5/12)</f>
        <v/>
      </c>
      <c r="F363" s="15">
        <f>IF(A363="","",MIN($B$8,G362+E363-C363))</f>
        <v/>
      </c>
      <c r="G363" s="15">
        <f>IF(A363="","",MAX(0,G362-D363-F363))</f>
        <v/>
      </c>
    </row>
    <row r="364">
      <c r="A364" s="13">
        <f>IF(AND(ISNUMBER(G363),G363&gt;0.005),348,"")</f>
        <v/>
      </c>
      <c r="B364" s="14">
        <f>IF(A364="","",EDATE($B$7,347))</f>
        <v/>
      </c>
      <c r="C364" s="15">
        <f>IF(A364="","",MIN($B$9,G363+E364))</f>
        <v/>
      </c>
      <c r="D364" s="15">
        <f>IF(A364="","",C364-E364)</f>
        <v/>
      </c>
      <c r="E364" s="15">
        <f>IF(A364="","",G363*$B$5/12)</f>
        <v/>
      </c>
      <c r="F364" s="15">
        <f>IF(A364="","",MIN($B$8,G363+E364-C364))</f>
        <v/>
      </c>
      <c r="G364" s="15">
        <f>IF(A364="","",MAX(0,G363-D364-F364))</f>
        <v/>
      </c>
    </row>
    <row r="365">
      <c r="A365" s="13">
        <f>IF(AND(ISNUMBER(G364),G364&gt;0.005),349,"")</f>
        <v/>
      </c>
      <c r="B365" s="14">
        <f>IF(A365="","",EDATE($B$7,348))</f>
        <v/>
      </c>
      <c r="C365" s="15">
        <f>IF(A365="","",MIN($B$9,G364+E365))</f>
        <v/>
      </c>
      <c r="D365" s="15">
        <f>IF(A365="","",C365-E365)</f>
        <v/>
      </c>
      <c r="E365" s="15">
        <f>IF(A365="","",G364*$B$5/12)</f>
        <v/>
      </c>
      <c r="F365" s="15">
        <f>IF(A365="","",MIN($B$8,G364+E365-C365))</f>
        <v/>
      </c>
      <c r="G365" s="15">
        <f>IF(A365="","",MAX(0,G364-D365-F365))</f>
        <v/>
      </c>
    </row>
    <row r="366">
      <c r="A366" s="13">
        <f>IF(AND(ISNUMBER(G365),G365&gt;0.005),350,"")</f>
        <v/>
      </c>
      <c r="B366" s="14">
        <f>IF(A366="","",EDATE($B$7,349))</f>
        <v/>
      </c>
      <c r="C366" s="15">
        <f>IF(A366="","",MIN($B$9,G365+E366))</f>
        <v/>
      </c>
      <c r="D366" s="15">
        <f>IF(A366="","",C366-E366)</f>
        <v/>
      </c>
      <c r="E366" s="15">
        <f>IF(A366="","",G365*$B$5/12)</f>
        <v/>
      </c>
      <c r="F366" s="15">
        <f>IF(A366="","",MIN($B$8,G365+E366-C366))</f>
        <v/>
      </c>
      <c r="G366" s="15">
        <f>IF(A366="","",MAX(0,G365-D366-F366))</f>
        <v/>
      </c>
    </row>
    <row r="367">
      <c r="A367" s="13">
        <f>IF(AND(ISNUMBER(G366),G366&gt;0.005),351,"")</f>
        <v/>
      </c>
      <c r="B367" s="14">
        <f>IF(A367="","",EDATE($B$7,350))</f>
        <v/>
      </c>
      <c r="C367" s="15">
        <f>IF(A367="","",MIN($B$9,G366+E367))</f>
        <v/>
      </c>
      <c r="D367" s="15">
        <f>IF(A367="","",C367-E367)</f>
        <v/>
      </c>
      <c r="E367" s="15">
        <f>IF(A367="","",G366*$B$5/12)</f>
        <v/>
      </c>
      <c r="F367" s="15">
        <f>IF(A367="","",MIN($B$8,G366+E367-C367))</f>
        <v/>
      </c>
      <c r="G367" s="15">
        <f>IF(A367="","",MAX(0,G366-D367-F367))</f>
        <v/>
      </c>
    </row>
    <row r="368">
      <c r="A368" s="13">
        <f>IF(AND(ISNUMBER(G367),G367&gt;0.005),352,"")</f>
        <v/>
      </c>
      <c r="B368" s="14">
        <f>IF(A368="","",EDATE($B$7,351))</f>
        <v/>
      </c>
      <c r="C368" s="15">
        <f>IF(A368="","",MIN($B$9,G367+E368))</f>
        <v/>
      </c>
      <c r="D368" s="15">
        <f>IF(A368="","",C368-E368)</f>
        <v/>
      </c>
      <c r="E368" s="15">
        <f>IF(A368="","",G367*$B$5/12)</f>
        <v/>
      </c>
      <c r="F368" s="15">
        <f>IF(A368="","",MIN($B$8,G367+E368-C368))</f>
        <v/>
      </c>
      <c r="G368" s="15">
        <f>IF(A368="","",MAX(0,G367-D368-F368))</f>
        <v/>
      </c>
    </row>
    <row r="369">
      <c r="A369" s="13">
        <f>IF(AND(ISNUMBER(G368),G368&gt;0.005),353,"")</f>
        <v/>
      </c>
      <c r="B369" s="14">
        <f>IF(A369="","",EDATE($B$7,352))</f>
        <v/>
      </c>
      <c r="C369" s="15">
        <f>IF(A369="","",MIN($B$9,G368+E369))</f>
        <v/>
      </c>
      <c r="D369" s="15">
        <f>IF(A369="","",C369-E369)</f>
        <v/>
      </c>
      <c r="E369" s="15">
        <f>IF(A369="","",G368*$B$5/12)</f>
        <v/>
      </c>
      <c r="F369" s="15">
        <f>IF(A369="","",MIN($B$8,G368+E369-C369))</f>
        <v/>
      </c>
      <c r="G369" s="15">
        <f>IF(A369="","",MAX(0,G368-D369-F369))</f>
        <v/>
      </c>
    </row>
    <row r="370">
      <c r="A370" s="13">
        <f>IF(AND(ISNUMBER(G369),G369&gt;0.005),354,"")</f>
        <v/>
      </c>
      <c r="B370" s="14">
        <f>IF(A370="","",EDATE($B$7,353))</f>
        <v/>
      </c>
      <c r="C370" s="15">
        <f>IF(A370="","",MIN($B$9,G369+E370))</f>
        <v/>
      </c>
      <c r="D370" s="15">
        <f>IF(A370="","",C370-E370)</f>
        <v/>
      </c>
      <c r="E370" s="15">
        <f>IF(A370="","",G369*$B$5/12)</f>
        <v/>
      </c>
      <c r="F370" s="15">
        <f>IF(A370="","",MIN($B$8,G369+E370-C370))</f>
        <v/>
      </c>
      <c r="G370" s="15">
        <f>IF(A370="","",MAX(0,G369-D370-F370))</f>
        <v/>
      </c>
    </row>
    <row r="371">
      <c r="A371" s="13">
        <f>IF(AND(ISNUMBER(G370),G370&gt;0.005),355,"")</f>
        <v/>
      </c>
      <c r="B371" s="14">
        <f>IF(A371="","",EDATE($B$7,354))</f>
        <v/>
      </c>
      <c r="C371" s="15">
        <f>IF(A371="","",MIN($B$9,G370+E371))</f>
        <v/>
      </c>
      <c r="D371" s="15">
        <f>IF(A371="","",C371-E371)</f>
        <v/>
      </c>
      <c r="E371" s="15">
        <f>IF(A371="","",G370*$B$5/12)</f>
        <v/>
      </c>
      <c r="F371" s="15">
        <f>IF(A371="","",MIN($B$8,G370+E371-C371))</f>
        <v/>
      </c>
      <c r="G371" s="15">
        <f>IF(A371="","",MAX(0,G370-D371-F371))</f>
        <v/>
      </c>
    </row>
    <row r="372">
      <c r="A372" s="13">
        <f>IF(AND(ISNUMBER(G371),G371&gt;0.005),356,"")</f>
        <v/>
      </c>
      <c r="B372" s="14">
        <f>IF(A372="","",EDATE($B$7,355))</f>
        <v/>
      </c>
      <c r="C372" s="15">
        <f>IF(A372="","",MIN($B$9,G371+E372))</f>
        <v/>
      </c>
      <c r="D372" s="15">
        <f>IF(A372="","",C372-E372)</f>
        <v/>
      </c>
      <c r="E372" s="15">
        <f>IF(A372="","",G371*$B$5/12)</f>
        <v/>
      </c>
      <c r="F372" s="15">
        <f>IF(A372="","",MIN($B$8,G371+E372-C372))</f>
        <v/>
      </c>
      <c r="G372" s="15">
        <f>IF(A372="","",MAX(0,G371-D372-F372))</f>
        <v/>
      </c>
    </row>
    <row r="373">
      <c r="A373" s="13">
        <f>IF(AND(ISNUMBER(G372),G372&gt;0.005),357,"")</f>
        <v/>
      </c>
      <c r="B373" s="14">
        <f>IF(A373="","",EDATE($B$7,356))</f>
        <v/>
      </c>
      <c r="C373" s="15">
        <f>IF(A373="","",MIN($B$9,G372+E373))</f>
        <v/>
      </c>
      <c r="D373" s="15">
        <f>IF(A373="","",C373-E373)</f>
        <v/>
      </c>
      <c r="E373" s="15">
        <f>IF(A373="","",G372*$B$5/12)</f>
        <v/>
      </c>
      <c r="F373" s="15">
        <f>IF(A373="","",MIN($B$8,G372+E373-C373))</f>
        <v/>
      </c>
      <c r="G373" s="15">
        <f>IF(A373="","",MAX(0,G372-D373-F373))</f>
        <v/>
      </c>
    </row>
    <row r="374">
      <c r="A374" s="13">
        <f>IF(AND(ISNUMBER(G373),G373&gt;0.005),358,"")</f>
        <v/>
      </c>
      <c r="B374" s="14">
        <f>IF(A374="","",EDATE($B$7,357))</f>
        <v/>
      </c>
      <c r="C374" s="15">
        <f>IF(A374="","",MIN($B$9,G373+E374))</f>
        <v/>
      </c>
      <c r="D374" s="15">
        <f>IF(A374="","",C374-E374)</f>
        <v/>
      </c>
      <c r="E374" s="15">
        <f>IF(A374="","",G373*$B$5/12)</f>
        <v/>
      </c>
      <c r="F374" s="15">
        <f>IF(A374="","",MIN($B$8,G373+E374-C374))</f>
        <v/>
      </c>
      <c r="G374" s="15">
        <f>IF(A374="","",MAX(0,G373-D374-F374))</f>
        <v/>
      </c>
    </row>
    <row r="375">
      <c r="A375" s="13">
        <f>IF(AND(ISNUMBER(G374),G374&gt;0.005),359,"")</f>
        <v/>
      </c>
      <c r="B375" s="14">
        <f>IF(A375="","",EDATE($B$7,358))</f>
        <v/>
      </c>
      <c r="C375" s="15">
        <f>IF(A375="","",MIN($B$9,G374+E375))</f>
        <v/>
      </c>
      <c r="D375" s="15">
        <f>IF(A375="","",C375-E375)</f>
        <v/>
      </c>
      <c r="E375" s="15">
        <f>IF(A375="","",G374*$B$5/12)</f>
        <v/>
      </c>
      <c r="F375" s="15">
        <f>IF(A375="","",MIN($B$8,G374+E375-C375))</f>
        <v/>
      </c>
      <c r="G375" s="15">
        <f>IF(A375="","",MAX(0,G374-D375-F375))</f>
        <v/>
      </c>
    </row>
    <row r="376">
      <c r="A376" s="13">
        <f>IF(AND(ISNUMBER(G375),G375&gt;0.005),360,"")</f>
        <v/>
      </c>
      <c r="B376" s="14">
        <f>IF(A376="","",EDATE($B$7,359))</f>
        <v/>
      </c>
      <c r="C376" s="15">
        <f>IF(A376="","",MIN($B$9,G375+E376))</f>
        <v/>
      </c>
      <c r="D376" s="15">
        <f>IF(A376="","",C376-E376)</f>
        <v/>
      </c>
      <c r="E376" s="15">
        <f>IF(A376="","",G375*$B$5/12)</f>
        <v/>
      </c>
      <c r="F376" s="15">
        <f>IF(A376="","",MIN($B$8,G375+E376-C376))</f>
        <v/>
      </c>
      <c r="G376" s="15">
        <f>IF(A376="","",MAX(0,G375-D376-F376))</f>
        <v/>
      </c>
    </row>
    <row r="377">
      <c r="A377" s="13">
        <f>IF(AND(ISNUMBER(G376),G376&gt;0.005),361,"")</f>
        <v/>
      </c>
      <c r="B377" s="14">
        <f>IF(A377="","",EDATE($B$7,360))</f>
        <v/>
      </c>
      <c r="C377" s="15">
        <f>IF(A377="","",MIN($B$9,G376+E377))</f>
        <v/>
      </c>
      <c r="D377" s="15">
        <f>IF(A377="","",C377-E377)</f>
        <v/>
      </c>
      <c r="E377" s="15">
        <f>IF(A377="","",G376*$B$5/12)</f>
        <v/>
      </c>
      <c r="F377" s="15">
        <f>IF(A377="","",MIN($B$8,G376+E377-C377))</f>
        <v/>
      </c>
      <c r="G377" s="15">
        <f>IF(A377="","",MAX(0,G376-D377-F377))</f>
        <v/>
      </c>
    </row>
    <row r="380">
      <c r="A380" s="16" t="inlineStr">
        <is>
          <t>Free template by Softotech Solutions (softotech.net). For educational and general use only, not financial or legal advice.</t>
        </is>
      </c>
    </row>
  </sheetData>
  <mergeCells count="3">
    <mergeCell ref="A380:G380"/>
    <mergeCell ref="A2:H2"/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Loan Amortization Schedule</t>
        </is>
      </c>
    </row>
    <row r="3">
      <c r="A3" s="18" t="inlineStr">
        <is>
          <t>1. Type the loan amount, annual rate, term in years and first payment date. Optionally add an extra monthly payment.</t>
        </is>
      </c>
    </row>
    <row r="4">
      <c r="A4" s="18" t="inlineStr">
        <is>
          <t>2. The schedule shows each payment split into principal and interest, with the remaining balance.</t>
        </is>
      </c>
    </row>
    <row r="5">
      <c r="A5" s="18" t="inlineStr">
        <is>
          <t>3. Totals show monthly payment, total interest, interest saved with extra payments and the payoff date.</t>
        </is>
      </c>
    </row>
    <row r="6">
      <c r="A6" s="18" t="inlineStr">
        <is>
          <t>4. Works for mortgages, auto loans and personal loans with fixed rates and monthly payments. Estimates only.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6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2026-11-03T23:21:30Z</dcterms:created>
  <dcterms:modified xmlns:dcterms="http://purl.org/dc/terms/" xmlns:xsi="http://www.w3.org/2001/XMLSchema-instance" xsi:type="dcterms:W3CDTF">2026-11-03T23:21:30Z</dcterms:modified>
</cp:coreProperties>
</file>