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" sheetId="1" state="visible" r:id="rId1"/>
    <sheet xmlns:r="http://schemas.openxmlformats.org/officeDocument/2006/relationships" name="Event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, mmm d, yyyy"/>
  </numFmts>
  <fonts count="9">
    <font>
      <name val="Calibri"/>
      <family val="2"/>
      <color theme="1"/>
      <sz val="11"/>
      <scheme val="minor"/>
    </font>
    <font>
      <b val="1"/>
      <color rgb="0012254A"/>
      <sz val="18"/>
    </font>
    <font>
      <i val="1"/>
      <color rgb="0055627A"/>
    </font>
    <font>
      <b val="1"/>
    </font>
    <font>
      <b val="1"/>
      <color rgb="00FFFFFF"/>
      <sz val="12"/>
    </font>
    <font>
      <b val="1"/>
      <color rgb="0012254A"/>
      <sz val="9"/>
    </font>
    <font>
      <color rgb="000870F8"/>
      <u val="single"/>
    </font>
    <font>
      <b val="1"/>
      <color rgb="00FFFFFF"/>
    </font>
    <font>
      <b val="1"/>
      <color rgb="0012254A"/>
      <sz val="14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2254A"/>
      </patternFill>
    </fill>
    <fill>
      <patternFill patternType="solid">
        <fgColor rgb="00EAF0FA"/>
      </patternFill>
    </fill>
  </fills>
  <borders count="2">
    <border>
      <left/>
      <right/>
      <top/>
      <bottom/>
      <diagonal/>
    </border>
    <border>
      <left style="thin">
        <color rgb="00BFCBE3"/>
      </left>
      <right style="thin">
        <color rgb="00BFCBE3"/>
      </right>
      <top style="thin">
        <color rgb="00BFCBE3"/>
      </top>
      <bottom style="thin">
        <color rgb="00BFCB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/>
    </xf>
    <xf numFmtId="0" fontId="5" fillId="4" borderId="0" applyAlignment="1" pivotButton="0" quotePrefix="0" xfId="0">
      <alignment horizontal="center"/>
    </xf>
    <xf numFmtId="1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3" borderId="0" pivotButton="0" quotePrefix="0" xfId="0"/>
    <xf numFmtId="165" fontId="0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ont>
        <b val="1"/>
        <color rgb="0012254A"/>
      </font>
      <fill>
        <patternFill patternType="solid">
          <fgColor rgb="00C8F135"/>
          <bgColor rgb="00C8F13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1"/>
  <sheetViews>
    <sheetView workbookViewId="0">
      <selection activeCell="A1" sqref="A1"/>
    </sheetView>
  </sheetViews>
  <sheetFormatPr baseColWidth="8" defaultRowHeight="15"/>
  <cols>
    <col width="5.2" customWidth="1" min="1" max="1"/>
    <col width="5.2" customWidth="1" min="2" max="2"/>
    <col width="5.2" customWidth="1" min="3" max="3"/>
    <col width="5.2" customWidth="1" min="4" max="4"/>
    <col width="5.2" customWidth="1" min="5" max="5"/>
    <col width="5.2" customWidth="1" min="6" max="6"/>
    <col width="5.2" customWidth="1" min="7" max="7"/>
    <col width="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</cols>
  <sheetData>
    <row r="1">
      <c r="A1" s="1" t="inlineStr">
        <is>
          <t>2027 Calendar</t>
        </is>
      </c>
    </row>
    <row r="2">
      <c r="A2" s="2" t="inlineStr">
        <is>
          <t>Type the year in the yellow cell. Dates in the Events sheet are highlighted in green.</t>
        </is>
      </c>
    </row>
    <row r="3">
      <c r="A3" t="inlineStr">
        <is>
          <t>Year</t>
        </is>
      </c>
      <c r="B3" s="3" t="n">
        <v>2027</v>
      </c>
      <c r="D3" t="inlineStr">
        <is>
          <t>Week starts (1=Sun, 2=Mon)</t>
        </is>
      </c>
      <c r="G3" s="3" t="n">
        <v>1</v>
      </c>
    </row>
    <row r="5">
      <c r="A5" s="4">
        <f>TEXT(DATE($B$3,1,1),"mmmm yyyy")</f>
        <v/>
      </c>
      <c r="I5" s="4">
        <f>TEXT(DATE($B$3,2,1),"mmmm yyyy")</f>
        <v/>
      </c>
      <c r="Q5" s="4">
        <f>TEXT(DATE($B$3,3,1),"mmmm yyyy")</f>
        <v/>
      </c>
    </row>
    <row r="6">
      <c r="A6" s="5">
        <f>CHOOSE(MOD(0+$G$3-1,7)+1,"Sun","Mon","Tue","Wed","Thu","Fri","Sat")</f>
        <v/>
      </c>
      <c r="B6" s="5">
        <f>CHOOSE(MOD(1+$G$3-1,7)+1,"Sun","Mon","Tue","Wed","Thu","Fri","Sat")</f>
        <v/>
      </c>
      <c r="C6" s="5">
        <f>CHOOSE(MOD(2+$G$3-1,7)+1,"Sun","Mon","Tue","Wed","Thu","Fri","Sat")</f>
        <v/>
      </c>
      <c r="D6" s="5">
        <f>CHOOSE(MOD(3+$G$3-1,7)+1,"Sun","Mon","Tue","Wed","Thu","Fri","Sat")</f>
        <v/>
      </c>
      <c r="E6" s="5">
        <f>CHOOSE(MOD(4+$G$3-1,7)+1,"Sun","Mon","Tue","Wed","Thu","Fri","Sat")</f>
        <v/>
      </c>
      <c r="F6" s="5">
        <f>CHOOSE(MOD(5+$G$3-1,7)+1,"Sun","Mon","Tue","Wed","Thu","Fri","Sat")</f>
        <v/>
      </c>
      <c r="G6" s="5">
        <f>CHOOSE(MOD(6+$G$3-1,7)+1,"Sun","Mon","Tue","Wed","Thu","Fri","Sat")</f>
        <v/>
      </c>
      <c r="I6" s="5">
        <f>CHOOSE(MOD(0+$G$3-1,7)+1,"Sun","Mon","Tue","Wed","Thu","Fri","Sat")</f>
        <v/>
      </c>
      <c r="J6" s="5">
        <f>CHOOSE(MOD(1+$G$3-1,7)+1,"Sun","Mon","Tue","Wed","Thu","Fri","Sat")</f>
        <v/>
      </c>
      <c r="K6" s="5">
        <f>CHOOSE(MOD(2+$G$3-1,7)+1,"Sun","Mon","Tue","Wed","Thu","Fri","Sat")</f>
        <v/>
      </c>
      <c r="L6" s="5">
        <f>CHOOSE(MOD(3+$G$3-1,7)+1,"Sun","Mon","Tue","Wed","Thu","Fri","Sat")</f>
        <v/>
      </c>
      <c r="M6" s="5">
        <f>CHOOSE(MOD(4+$G$3-1,7)+1,"Sun","Mon","Tue","Wed","Thu","Fri","Sat")</f>
        <v/>
      </c>
      <c r="N6" s="5">
        <f>CHOOSE(MOD(5+$G$3-1,7)+1,"Sun","Mon","Tue","Wed","Thu","Fri","Sat")</f>
        <v/>
      </c>
      <c r="O6" s="5">
        <f>CHOOSE(MOD(6+$G$3-1,7)+1,"Sun","Mon","Tue","Wed","Thu","Fri","Sat")</f>
        <v/>
      </c>
      <c r="Q6" s="5">
        <f>CHOOSE(MOD(0+$G$3-1,7)+1,"Sun","Mon","Tue","Wed","Thu","Fri","Sat")</f>
        <v/>
      </c>
      <c r="R6" s="5">
        <f>CHOOSE(MOD(1+$G$3-1,7)+1,"Sun","Mon","Tue","Wed","Thu","Fri","Sat")</f>
        <v/>
      </c>
      <c r="S6" s="5">
        <f>CHOOSE(MOD(2+$G$3-1,7)+1,"Sun","Mon","Tue","Wed","Thu","Fri","Sat")</f>
        <v/>
      </c>
      <c r="T6" s="5">
        <f>CHOOSE(MOD(3+$G$3-1,7)+1,"Sun","Mon","Tue","Wed","Thu","Fri","Sat")</f>
        <v/>
      </c>
      <c r="U6" s="5">
        <f>CHOOSE(MOD(4+$G$3-1,7)+1,"Sun","Mon","Tue","Wed","Thu","Fri","Sat")</f>
        <v/>
      </c>
      <c r="V6" s="5">
        <f>CHOOSE(MOD(5+$G$3-1,7)+1,"Sun","Mon","Tue","Wed","Thu","Fri","Sat")</f>
        <v/>
      </c>
      <c r="W6" s="5">
        <f>CHOOSE(MOD(6+$G$3-1,7)+1,"Sun","Mon","Tue","Wed","Thu","Fri","Sat")</f>
        <v/>
      </c>
    </row>
    <row r="7">
      <c r="A7" s="6">
        <f>IF(MONTH((DATE($B$3,1,1)-(WEEKDAY(DATE($B$3,1,1),$G$3)-1)+0))=1,DAY((DATE($B$3,1,1)-(WEEKDAY(DATE($B$3,1,1),$G$3)-1)+0)),"")</f>
        <v/>
      </c>
      <c r="B7" s="6">
        <f>IF(MONTH((DATE($B$3,1,1)-(WEEKDAY(DATE($B$3,1,1),$G$3)-1)+1))=1,DAY((DATE($B$3,1,1)-(WEEKDAY(DATE($B$3,1,1),$G$3)-1)+1)),"")</f>
        <v/>
      </c>
      <c r="C7" s="6">
        <f>IF(MONTH((DATE($B$3,1,1)-(WEEKDAY(DATE($B$3,1,1),$G$3)-1)+2))=1,DAY((DATE($B$3,1,1)-(WEEKDAY(DATE($B$3,1,1),$G$3)-1)+2)),"")</f>
        <v/>
      </c>
      <c r="D7" s="6">
        <f>IF(MONTH((DATE($B$3,1,1)-(WEEKDAY(DATE($B$3,1,1),$G$3)-1)+3))=1,DAY((DATE($B$3,1,1)-(WEEKDAY(DATE($B$3,1,1),$G$3)-1)+3)),"")</f>
        <v/>
      </c>
      <c r="E7" s="6">
        <f>IF(MONTH((DATE($B$3,1,1)-(WEEKDAY(DATE($B$3,1,1),$G$3)-1)+4))=1,DAY((DATE($B$3,1,1)-(WEEKDAY(DATE($B$3,1,1),$G$3)-1)+4)),"")</f>
        <v/>
      </c>
      <c r="F7" s="6">
        <f>IF(MONTH((DATE($B$3,1,1)-(WEEKDAY(DATE($B$3,1,1),$G$3)-1)+5))=1,DAY((DATE($B$3,1,1)-(WEEKDAY(DATE($B$3,1,1),$G$3)-1)+5)),"")</f>
        <v/>
      </c>
      <c r="G7" s="6">
        <f>IF(MONTH((DATE($B$3,1,1)-(WEEKDAY(DATE($B$3,1,1),$G$3)-1)+6))=1,DAY((DATE($B$3,1,1)-(WEEKDAY(DATE($B$3,1,1),$G$3)-1)+6)),"")</f>
        <v/>
      </c>
      <c r="I7" s="6">
        <f>IF(MONTH((DATE($B$3,2,1)-(WEEKDAY(DATE($B$3,2,1),$G$3)-1)+0))=2,DAY((DATE($B$3,2,1)-(WEEKDAY(DATE($B$3,2,1),$G$3)-1)+0)),"")</f>
        <v/>
      </c>
      <c r="J7" s="6">
        <f>IF(MONTH((DATE($B$3,2,1)-(WEEKDAY(DATE($B$3,2,1),$G$3)-1)+1))=2,DAY((DATE($B$3,2,1)-(WEEKDAY(DATE($B$3,2,1),$G$3)-1)+1)),"")</f>
        <v/>
      </c>
      <c r="K7" s="6">
        <f>IF(MONTH((DATE($B$3,2,1)-(WEEKDAY(DATE($B$3,2,1),$G$3)-1)+2))=2,DAY((DATE($B$3,2,1)-(WEEKDAY(DATE($B$3,2,1),$G$3)-1)+2)),"")</f>
        <v/>
      </c>
      <c r="L7" s="6">
        <f>IF(MONTH((DATE($B$3,2,1)-(WEEKDAY(DATE($B$3,2,1),$G$3)-1)+3))=2,DAY((DATE($B$3,2,1)-(WEEKDAY(DATE($B$3,2,1),$G$3)-1)+3)),"")</f>
        <v/>
      </c>
      <c r="M7" s="6">
        <f>IF(MONTH((DATE($B$3,2,1)-(WEEKDAY(DATE($B$3,2,1),$G$3)-1)+4))=2,DAY((DATE($B$3,2,1)-(WEEKDAY(DATE($B$3,2,1),$G$3)-1)+4)),"")</f>
        <v/>
      </c>
      <c r="N7" s="6">
        <f>IF(MONTH((DATE($B$3,2,1)-(WEEKDAY(DATE($B$3,2,1),$G$3)-1)+5))=2,DAY((DATE($B$3,2,1)-(WEEKDAY(DATE($B$3,2,1),$G$3)-1)+5)),"")</f>
        <v/>
      </c>
      <c r="O7" s="6">
        <f>IF(MONTH((DATE($B$3,2,1)-(WEEKDAY(DATE($B$3,2,1),$G$3)-1)+6))=2,DAY((DATE($B$3,2,1)-(WEEKDAY(DATE($B$3,2,1),$G$3)-1)+6)),"")</f>
        <v/>
      </c>
      <c r="Q7" s="6">
        <f>IF(MONTH((DATE($B$3,3,1)-(WEEKDAY(DATE($B$3,3,1),$G$3)-1)+0))=3,DAY((DATE($B$3,3,1)-(WEEKDAY(DATE($B$3,3,1),$G$3)-1)+0)),"")</f>
        <v/>
      </c>
      <c r="R7" s="6">
        <f>IF(MONTH((DATE($B$3,3,1)-(WEEKDAY(DATE($B$3,3,1),$G$3)-1)+1))=3,DAY((DATE($B$3,3,1)-(WEEKDAY(DATE($B$3,3,1),$G$3)-1)+1)),"")</f>
        <v/>
      </c>
      <c r="S7" s="6">
        <f>IF(MONTH((DATE($B$3,3,1)-(WEEKDAY(DATE($B$3,3,1),$G$3)-1)+2))=3,DAY((DATE($B$3,3,1)-(WEEKDAY(DATE($B$3,3,1),$G$3)-1)+2)),"")</f>
        <v/>
      </c>
      <c r="T7" s="6">
        <f>IF(MONTH((DATE($B$3,3,1)-(WEEKDAY(DATE($B$3,3,1),$G$3)-1)+3))=3,DAY((DATE($B$3,3,1)-(WEEKDAY(DATE($B$3,3,1),$G$3)-1)+3)),"")</f>
        <v/>
      </c>
      <c r="U7" s="6">
        <f>IF(MONTH((DATE($B$3,3,1)-(WEEKDAY(DATE($B$3,3,1),$G$3)-1)+4))=3,DAY((DATE($B$3,3,1)-(WEEKDAY(DATE($B$3,3,1),$G$3)-1)+4)),"")</f>
        <v/>
      </c>
      <c r="V7" s="6">
        <f>IF(MONTH((DATE($B$3,3,1)-(WEEKDAY(DATE($B$3,3,1),$G$3)-1)+5))=3,DAY((DATE($B$3,3,1)-(WEEKDAY(DATE($B$3,3,1),$G$3)-1)+5)),"")</f>
        <v/>
      </c>
      <c r="W7" s="6">
        <f>IF(MONTH((DATE($B$3,3,1)-(WEEKDAY(DATE($B$3,3,1),$G$3)-1)+6))=3,DAY((DATE($B$3,3,1)-(WEEKDAY(DATE($B$3,3,1),$G$3)-1)+6)),"")</f>
        <v/>
      </c>
    </row>
    <row r="8">
      <c r="A8" s="6">
        <f>IF(MONTH((DATE($B$3,1,1)-(WEEKDAY(DATE($B$3,1,1),$G$3)-1)+7))=1,DAY((DATE($B$3,1,1)-(WEEKDAY(DATE($B$3,1,1),$G$3)-1)+7)),"")</f>
        <v/>
      </c>
      <c r="B8" s="6">
        <f>IF(MONTH((DATE($B$3,1,1)-(WEEKDAY(DATE($B$3,1,1),$G$3)-1)+8))=1,DAY((DATE($B$3,1,1)-(WEEKDAY(DATE($B$3,1,1),$G$3)-1)+8)),"")</f>
        <v/>
      </c>
      <c r="C8" s="6">
        <f>IF(MONTH((DATE($B$3,1,1)-(WEEKDAY(DATE($B$3,1,1),$G$3)-1)+9))=1,DAY((DATE($B$3,1,1)-(WEEKDAY(DATE($B$3,1,1),$G$3)-1)+9)),"")</f>
        <v/>
      </c>
      <c r="D8" s="6">
        <f>IF(MONTH((DATE($B$3,1,1)-(WEEKDAY(DATE($B$3,1,1),$G$3)-1)+10))=1,DAY((DATE($B$3,1,1)-(WEEKDAY(DATE($B$3,1,1),$G$3)-1)+10)),"")</f>
        <v/>
      </c>
      <c r="E8" s="6">
        <f>IF(MONTH((DATE($B$3,1,1)-(WEEKDAY(DATE($B$3,1,1),$G$3)-1)+11))=1,DAY((DATE($B$3,1,1)-(WEEKDAY(DATE($B$3,1,1),$G$3)-1)+11)),"")</f>
        <v/>
      </c>
      <c r="F8" s="6">
        <f>IF(MONTH((DATE($B$3,1,1)-(WEEKDAY(DATE($B$3,1,1),$G$3)-1)+12))=1,DAY((DATE($B$3,1,1)-(WEEKDAY(DATE($B$3,1,1),$G$3)-1)+12)),"")</f>
        <v/>
      </c>
      <c r="G8" s="6">
        <f>IF(MONTH((DATE($B$3,1,1)-(WEEKDAY(DATE($B$3,1,1),$G$3)-1)+13))=1,DAY((DATE($B$3,1,1)-(WEEKDAY(DATE($B$3,1,1),$G$3)-1)+13)),"")</f>
        <v/>
      </c>
      <c r="I8" s="6">
        <f>IF(MONTH((DATE($B$3,2,1)-(WEEKDAY(DATE($B$3,2,1),$G$3)-1)+7))=2,DAY((DATE($B$3,2,1)-(WEEKDAY(DATE($B$3,2,1),$G$3)-1)+7)),"")</f>
        <v/>
      </c>
      <c r="J8" s="6">
        <f>IF(MONTH((DATE($B$3,2,1)-(WEEKDAY(DATE($B$3,2,1),$G$3)-1)+8))=2,DAY((DATE($B$3,2,1)-(WEEKDAY(DATE($B$3,2,1),$G$3)-1)+8)),"")</f>
        <v/>
      </c>
      <c r="K8" s="6">
        <f>IF(MONTH((DATE($B$3,2,1)-(WEEKDAY(DATE($B$3,2,1),$G$3)-1)+9))=2,DAY((DATE($B$3,2,1)-(WEEKDAY(DATE($B$3,2,1),$G$3)-1)+9)),"")</f>
        <v/>
      </c>
      <c r="L8" s="6">
        <f>IF(MONTH((DATE($B$3,2,1)-(WEEKDAY(DATE($B$3,2,1),$G$3)-1)+10))=2,DAY((DATE($B$3,2,1)-(WEEKDAY(DATE($B$3,2,1),$G$3)-1)+10)),"")</f>
        <v/>
      </c>
      <c r="M8" s="6">
        <f>IF(MONTH((DATE($B$3,2,1)-(WEEKDAY(DATE($B$3,2,1),$G$3)-1)+11))=2,DAY((DATE($B$3,2,1)-(WEEKDAY(DATE($B$3,2,1),$G$3)-1)+11)),"")</f>
        <v/>
      </c>
      <c r="N8" s="6">
        <f>IF(MONTH((DATE($B$3,2,1)-(WEEKDAY(DATE($B$3,2,1),$G$3)-1)+12))=2,DAY((DATE($B$3,2,1)-(WEEKDAY(DATE($B$3,2,1),$G$3)-1)+12)),"")</f>
        <v/>
      </c>
      <c r="O8" s="6">
        <f>IF(MONTH((DATE($B$3,2,1)-(WEEKDAY(DATE($B$3,2,1),$G$3)-1)+13))=2,DAY((DATE($B$3,2,1)-(WEEKDAY(DATE($B$3,2,1),$G$3)-1)+13)),"")</f>
        <v/>
      </c>
      <c r="Q8" s="6">
        <f>IF(MONTH((DATE($B$3,3,1)-(WEEKDAY(DATE($B$3,3,1),$G$3)-1)+7))=3,DAY((DATE($B$3,3,1)-(WEEKDAY(DATE($B$3,3,1),$G$3)-1)+7)),"")</f>
        <v/>
      </c>
      <c r="R8" s="6">
        <f>IF(MONTH((DATE($B$3,3,1)-(WEEKDAY(DATE($B$3,3,1),$G$3)-1)+8))=3,DAY((DATE($B$3,3,1)-(WEEKDAY(DATE($B$3,3,1),$G$3)-1)+8)),"")</f>
        <v/>
      </c>
      <c r="S8" s="6">
        <f>IF(MONTH((DATE($B$3,3,1)-(WEEKDAY(DATE($B$3,3,1),$G$3)-1)+9))=3,DAY((DATE($B$3,3,1)-(WEEKDAY(DATE($B$3,3,1),$G$3)-1)+9)),"")</f>
        <v/>
      </c>
      <c r="T8" s="6">
        <f>IF(MONTH((DATE($B$3,3,1)-(WEEKDAY(DATE($B$3,3,1),$G$3)-1)+10))=3,DAY((DATE($B$3,3,1)-(WEEKDAY(DATE($B$3,3,1),$G$3)-1)+10)),"")</f>
        <v/>
      </c>
      <c r="U8" s="6">
        <f>IF(MONTH((DATE($B$3,3,1)-(WEEKDAY(DATE($B$3,3,1),$G$3)-1)+11))=3,DAY((DATE($B$3,3,1)-(WEEKDAY(DATE($B$3,3,1),$G$3)-1)+11)),"")</f>
        <v/>
      </c>
      <c r="V8" s="6">
        <f>IF(MONTH((DATE($B$3,3,1)-(WEEKDAY(DATE($B$3,3,1),$G$3)-1)+12))=3,DAY((DATE($B$3,3,1)-(WEEKDAY(DATE($B$3,3,1),$G$3)-1)+12)),"")</f>
        <v/>
      </c>
      <c r="W8" s="6">
        <f>IF(MONTH((DATE($B$3,3,1)-(WEEKDAY(DATE($B$3,3,1),$G$3)-1)+13))=3,DAY((DATE($B$3,3,1)-(WEEKDAY(DATE($B$3,3,1),$G$3)-1)+13)),"")</f>
        <v/>
      </c>
    </row>
    <row r="9">
      <c r="A9" s="6">
        <f>IF(MONTH((DATE($B$3,1,1)-(WEEKDAY(DATE($B$3,1,1),$G$3)-1)+14))=1,DAY((DATE($B$3,1,1)-(WEEKDAY(DATE($B$3,1,1),$G$3)-1)+14)),"")</f>
        <v/>
      </c>
      <c r="B9" s="6">
        <f>IF(MONTH((DATE($B$3,1,1)-(WEEKDAY(DATE($B$3,1,1),$G$3)-1)+15))=1,DAY((DATE($B$3,1,1)-(WEEKDAY(DATE($B$3,1,1),$G$3)-1)+15)),"")</f>
        <v/>
      </c>
      <c r="C9" s="6">
        <f>IF(MONTH((DATE($B$3,1,1)-(WEEKDAY(DATE($B$3,1,1),$G$3)-1)+16))=1,DAY((DATE($B$3,1,1)-(WEEKDAY(DATE($B$3,1,1),$G$3)-1)+16)),"")</f>
        <v/>
      </c>
      <c r="D9" s="6">
        <f>IF(MONTH((DATE($B$3,1,1)-(WEEKDAY(DATE($B$3,1,1),$G$3)-1)+17))=1,DAY((DATE($B$3,1,1)-(WEEKDAY(DATE($B$3,1,1),$G$3)-1)+17)),"")</f>
        <v/>
      </c>
      <c r="E9" s="6">
        <f>IF(MONTH((DATE($B$3,1,1)-(WEEKDAY(DATE($B$3,1,1),$G$3)-1)+18))=1,DAY((DATE($B$3,1,1)-(WEEKDAY(DATE($B$3,1,1),$G$3)-1)+18)),"")</f>
        <v/>
      </c>
      <c r="F9" s="6">
        <f>IF(MONTH((DATE($B$3,1,1)-(WEEKDAY(DATE($B$3,1,1),$G$3)-1)+19))=1,DAY((DATE($B$3,1,1)-(WEEKDAY(DATE($B$3,1,1),$G$3)-1)+19)),"")</f>
        <v/>
      </c>
      <c r="G9" s="6">
        <f>IF(MONTH((DATE($B$3,1,1)-(WEEKDAY(DATE($B$3,1,1),$G$3)-1)+20))=1,DAY((DATE($B$3,1,1)-(WEEKDAY(DATE($B$3,1,1),$G$3)-1)+20)),"")</f>
        <v/>
      </c>
      <c r="I9" s="6">
        <f>IF(MONTH((DATE($B$3,2,1)-(WEEKDAY(DATE($B$3,2,1),$G$3)-1)+14))=2,DAY((DATE($B$3,2,1)-(WEEKDAY(DATE($B$3,2,1),$G$3)-1)+14)),"")</f>
        <v/>
      </c>
      <c r="J9" s="6">
        <f>IF(MONTH((DATE($B$3,2,1)-(WEEKDAY(DATE($B$3,2,1),$G$3)-1)+15))=2,DAY((DATE($B$3,2,1)-(WEEKDAY(DATE($B$3,2,1),$G$3)-1)+15)),"")</f>
        <v/>
      </c>
      <c r="K9" s="6">
        <f>IF(MONTH((DATE($B$3,2,1)-(WEEKDAY(DATE($B$3,2,1),$G$3)-1)+16))=2,DAY((DATE($B$3,2,1)-(WEEKDAY(DATE($B$3,2,1),$G$3)-1)+16)),"")</f>
        <v/>
      </c>
      <c r="L9" s="6">
        <f>IF(MONTH((DATE($B$3,2,1)-(WEEKDAY(DATE($B$3,2,1),$G$3)-1)+17))=2,DAY((DATE($B$3,2,1)-(WEEKDAY(DATE($B$3,2,1),$G$3)-1)+17)),"")</f>
        <v/>
      </c>
      <c r="M9" s="6">
        <f>IF(MONTH((DATE($B$3,2,1)-(WEEKDAY(DATE($B$3,2,1),$G$3)-1)+18))=2,DAY((DATE($B$3,2,1)-(WEEKDAY(DATE($B$3,2,1),$G$3)-1)+18)),"")</f>
        <v/>
      </c>
      <c r="N9" s="6">
        <f>IF(MONTH((DATE($B$3,2,1)-(WEEKDAY(DATE($B$3,2,1),$G$3)-1)+19))=2,DAY((DATE($B$3,2,1)-(WEEKDAY(DATE($B$3,2,1),$G$3)-1)+19)),"")</f>
        <v/>
      </c>
      <c r="O9" s="6">
        <f>IF(MONTH((DATE($B$3,2,1)-(WEEKDAY(DATE($B$3,2,1),$G$3)-1)+20))=2,DAY((DATE($B$3,2,1)-(WEEKDAY(DATE($B$3,2,1),$G$3)-1)+20)),"")</f>
        <v/>
      </c>
      <c r="Q9" s="6">
        <f>IF(MONTH((DATE($B$3,3,1)-(WEEKDAY(DATE($B$3,3,1),$G$3)-1)+14))=3,DAY((DATE($B$3,3,1)-(WEEKDAY(DATE($B$3,3,1),$G$3)-1)+14)),"")</f>
        <v/>
      </c>
      <c r="R9" s="6">
        <f>IF(MONTH((DATE($B$3,3,1)-(WEEKDAY(DATE($B$3,3,1),$G$3)-1)+15))=3,DAY((DATE($B$3,3,1)-(WEEKDAY(DATE($B$3,3,1),$G$3)-1)+15)),"")</f>
        <v/>
      </c>
      <c r="S9" s="6">
        <f>IF(MONTH((DATE($B$3,3,1)-(WEEKDAY(DATE($B$3,3,1),$G$3)-1)+16))=3,DAY((DATE($B$3,3,1)-(WEEKDAY(DATE($B$3,3,1),$G$3)-1)+16)),"")</f>
        <v/>
      </c>
      <c r="T9" s="6">
        <f>IF(MONTH((DATE($B$3,3,1)-(WEEKDAY(DATE($B$3,3,1),$G$3)-1)+17))=3,DAY((DATE($B$3,3,1)-(WEEKDAY(DATE($B$3,3,1),$G$3)-1)+17)),"")</f>
        <v/>
      </c>
      <c r="U9" s="6">
        <f>IF(MONTH((DATE($B$3,3,1)-(WEEKDAY(DATE($B$3,3,1),$G$3)-1)+18))=3,DAY((DATE($B$3,3,1)-(WEEKDAY(DATE($B$3,3,1),$G$3)-1)+18)),"")</f>
        <v/>
      </c>
      <c r="V9" s="6">
        <f>IF(MONTH((DATE($B$3,3,1)-(WEEKDAY(DATE($B$3,3,1),$G$3)-1)+19))=3,DAY((DATE($B$3,3,1)-(WEEKDAY(DATE($B$3,3,1),$G$3)-1)+19)),"")</f>
        <v/>
      </c>
      <c r="W9" s="6">
        <f>IF(MONTH((DATE($B$3,3,1)-(WEEKDAY(DATE($B$3,3,1),$G$3)-1)+20))=3,DAY((DATE($B$3,3,1)-(WEEKDAY(DATE($B$3,3,1),$G$3)-1)+20)),"")</f>
        <v/>
      </c>
    </row>
    <row r="10">
      <c r="A10" s="6">
        <f>IF(MONTH((DATE($B$3,1,1)-(WEEKDAY(DATE($B$3,1,1),$G$3)-1)+21))=1,DAY((DATE($B$3,1,1)-(WEEKDAY(DATE($B$3,1,1),$G$3)-1)+21)),"")</f>
        <v/>
      </c>
      <c r="B10" s="6">
        <f>IF(MONTH((DATE($B$3,1,1)-(WEEKDAY(DATE($B$3,1,1),$G$3)-1)+22))=1,DAY((DATE($B$3,1,1)-(WEEKDAY(DATE($B$3,1,1),$G$3)-1)+22)),"")</f>
        <v/>
      </c>
      <c r="C10" s="6">
        <f>IF(MONTH((DATE($B$3,1,1)-(WEEKDAY(DATE($B$3,1,1),$G$3)-1)+23))=1,DAY((DATE($B$3,1,1)-(WEEKDAY(DATE($B$3,1,1),$G$3)-1)+23)),"")</f>
        <v/>
      </c>
      <c r="D10" s="6">
        <f>IF(MONTH((DATE($B$3,1,1)-(WEEKDAY(DATE($B$3,1,1),$G$3)-1)+24))=1,DAY((DATE($B$3,1,1)-(WEEKDAY(DATE($B$3,1,1),$G$3)-1)+24)),"")</f>
        <v/>
      </c>
      <c r="E10" s="6">
        <f>IF(MONTH((DATE($B$3,1,1)-(WEEKDAY(DATE($B$3,1,1),$G$3)-1)+25))=1,DAY((DATE($B$3,1,1)-(WEEKDAY(DATE($B$3,1,1),$G$3)-1)+25)),"")</f>
        <v/>
      </c>
      <c r="F10" s="6">
        <f>IF(MONTH((DATE($B$3,1,1)-(WEEKDAY(DATE($B$3,1,1),$G$3)-1)+26))=1,DAY((DATE($B$3,1,1)-(WEEKDAY(DATE($B$3,1,1),$G$3)-1)+26)),"")</f>
        <v/>
      </c>
      <c r="G10" s="6">
        <f>IF(MONTH((DATE($B$3,1,1)-(WEEKDAY(DATE($B$3,1,1),$G$3)-1)+27))=1,DAY((DATE($B$3,1,1)-(WEEKDAY(DATE($B$3,1,1),$G$3)-1)+27)),"")</f>
        <v/>
      </c>
      <c r="I10" s="6">
        <f>IF(MONTH((DATE($B$3,2,1)-(WEEKDAY(DATE($B$3,2,1),$G$3)-1)+21))=2,DAY((DATE($B$3,2,1)-(WEEKDAY(DATE($B$3,2,1),$G$3)-1)+21)),"")</f>
        <v/>
      </c>
      <c r="J10" s="6">
        <f>IF(MONTH((DATE($B$3,2,1)-(WEEKDAY(DATE($B$3,2,1),$G$3)-1)+22))=2,DAY((DATE($B$3,2,1)-(WEEKDAY(DATE($B$3,2,1),$G$3)-1)+22)),"")</f>
        <v/>
      </c>
      <c r="K10" s="6">
        <f>IF(MONTH((DATE($B$3,2,1)-(WEEKDAY(DATE($B$3,2,1),$G$3)-1)+23))=2,DAY((DATE($B$3,2,1)-(WEEKDAY(DATE($B$3,2,1),$G$3)-1)+23)),"")</f>
        <v/>
      </c>
      <c r="L10" s="6">
        <f>IF(MONTH((DATE($B$3,2,1)-(WEEKDAY(DATE($B$3,2,1),$G$3)-1)+24))=2,DAY((DATE($B$3,2,1)-(WEEKDAY(DATE($B$3,2,1),$G$3)-1)+24)),"")</f>
        <v/>
      </c>
      <c r="M10" s="6">
        <f>IF(MONTH((DATE($B$3,2,1)-(WEEKDAY(DATE($B$3,2,1),$G$3)-1)+25))=2,DAY((DATE($B$3,2,1)-(WEEKDAY(DATE($B$3,2,1),$G$3)-1)+25)),"")</f>
        <v/>
      </c>
      <c r="N10" s="6">
        <f>IF(MONTH((DATE($B$3,2,1)-(WEEKDAY(DATE($B$3,2,1),$G$3)-1)+26))=2,DAY((DATE($B$3,2,1)-(WEEKDAY(DATE($B$3,2,1),$G$3)-1)+26)),"")</f>
        <v/>
      </c>
      <c r="O10" s="6">
        <f>IF(MONTH((DATE($B$3,2,1)-(WEEKDAY(DATE($B$3,2,1),$G$3)-1)+27))=2,DAY((DATE($B$3,2,1)-(WEEKDAY(DATE($B$3,2,1),$G$3)-1)+27)),"")</f>
        <v/>
      </c>
      <c r="Q10" s="6">
        <f>IF(MONTH((DATE($B$3,3,1)-(WEEKDAY(DATE($B$3,3,1),$G$3)-1)+21))=3,DAY((DATE($B$3,3,1)-(WEEKDAY(DATE($B$3,3,1),$G$3)-1)+21)),"")</f>
        <v/>
      </c>
      <c r="R10" s="6">
        <f>IF(MONTH((DATE($B$3,3,1)-(WEEKDAY(DATE($B$3,3,1),$G$3)-1)+22))=3,DAY((DATE($B$3,3,1)-(WEEKDAY(DATE($B$3,3,1),$G$3)-1)+22)),"")</f>
        <v/>
      </c>
      <c r="S10" s="6">
        <f>IF(MONTH((DATE($B$3,3,1)-(WEEKDAY(DATE($B$3,3,1),$G$3)-1)+23))=3,DAY((DATE($B$3,3,1)-(WEEKDAY(DATE($B$3,3,1),$G$3)-1)+23)),"")</f>
        <v/>
      </c>
      <c r="T10" s="6">
        <f>IF(MONTH((DATE($B$3,3,1)-(WEEKDAY(DATE($B$3,3,1),$G$3)-1)+24))=3,DAY((DATE($B$3,3,1)-(WEEKDAY(DATE($B$3,3,1),$G$3)-1)+24)),"")</f>
        <v/>
      </c>
      <c r="U10" s="6">
        <f>IF(MONTH((DATE($B$3,3,1)-(WEEKDAY(DATE($B$3,3,1),$G$3)-1)+25))=3,DAY((DATE($B$3,3,1)-(WEEKDAY(DATE($B$3,3,1),$G$3)-1)+25)),"")</f>
        <v/>
      </c>
      <c r="V10" s="6">
        <f>IF(MONTH((DATE($B$3,3,1)-(WEEKDAY(DATE($B$3,3,1),$G$3)-1)+26))=3,DAY((DATE($B$3,3,1)-(WEEKDAY(DATE($B$3,3,1),$G$3)-1)+26)),"")</f>
        <v/>
      </c>
      <c r="W10" s="6">
        <f>IF(MONTH((DATE($B$3,3,1)-(WEEKDAY(DATE($B$3,3,1),$G$3)-1)+27))=3,DAY((DATE($B$3,3,1)-(WEEKDAY(DATE($B$3,3,1),$G$3)-1)+27)),"")</f>
        <v/>
      </c>
    </row>
    <row r="11">
      <c r="A11" s="6">
        <f>IF(MONTH((DATE($B$3,1,1)-(WEEKDAY(DATE($B$3,1,1),$G$3)-1)+28))=1,DAY((DATE($B$3,1,1)-(WEEKDAY(DATE($B$3,1,1),$G$3)-1)+28)),"")</f>
        <v/>
      </c>
      <c r="B11" s="6">
        <f>IF(MONTH((DATE($B$3,1,1)-(WEEKDAY(DATE($B$3,1,1),$G$3)-1)+29))=1,DAY((DATE($B$3,1,1)-(WEEKDAY(DATE($B$3,1,1),$G$3)-1)+29)),"")</f>
        <v/>
      </c>
      <c r="C11" s="6">
        <f>IF(MONTH((DATE($B$3,1,1)-(WEEKDAY(DATE($B$3,1,1),$G$3)-1)+30))=1,DAY((DATE($B$3,1,1)-(WEEKDAY(DATE($B$3,1,1),$G$3)-1)+30)),"")</f>
        <v/>
      </c>
      <c r="D11" s="6">
        <f>IF(MONTH((DATE($B$3,1,1)-(WEEKDAY(DATE($B$3,1,1),$G$3)-1)+31))=1,DAY((DATE($B$3,1,1)-(WEEKDAY(DATE($B$3,1,1),$G$3)-1)+31)),"")</f>
        <v/>
      </c>
      <c r="E11" s="6">
        <f>IF(MONTH((DATE($B$3,1,1)-(WEEKDAY(DATE($B$3,1,1),$G$3)-1)+32))=1,DAY((DATE($B$3,1,1)-(WEEKDAY(DATE($B$3,1,1),$G$3)-1)+32)),"")</f>
        <v/>
      </c>
      <c r="F11" s="6">
        <f>IF(MONTH((DATE($B$3,1,1)-(WEEKDAY(DATE($B$3,1,1),$G$3)-1)+33))=1,DAY((DATE($B$3,1,1)-(WEEKDAY(DATE($B$3,1,1),$G$3)-1)+33)),"")</f>
        <v/>
      </c>
      <c r="G11" s="6">
        <f>IF(MONTH((DATE($B$3,1,1)-(WEEKDAY(DATE($B$3,1,1),$G$3)-1)+34))=1,DAY((DATE($B$3,1,1)-(WEEKDAY(DATE($B$3,1,1),$G$3)-1)+34)),"")</f>
        <v/>
      </c>
      <c r="I11" s="6">
        <f>IF(MONTH((DATE($B$3,2,1)-(WEEKDAY(DATE($B$3,2,1),$G$3)-1)+28))=2,DAY((DATE($B$3,2,1)-(WEEKDAY(DATE($B$3,2,1),$G$3)-1)+28)),"")</f>
        <v/>
      </c>
      <c r="J11" s="6">
        <f>IF(MONTH((DATE($B$3,2,1)-(WEEKDAY(DATE($B$3,2,1),$G$3)-1)+29))=2,DAY((DATE($B$3,2,1)-(WEEKDAY(DATE($B$3,2,1),$G$3)-1)+29)),"")</f>
        <v/>
      </c>
      <c r="K11" s="6">
        <f>IF(MONTH((DATE($B$3,2,1)-(WEEKDAY(DATE($B$3,2,1),$G$3)-1)+30))=2,DAY((DATE($B$3,2,1)-(WEEKDAY(DATE($B$3,2,1),$G$3)-1)+30)),"")</f>
        <v/>
      </c>
      <c r="L11" s="6">
        <f>IF(MONTH((DATE($B$3,2,1)-(WEEKDAY(DATE($B$3,2,1),$G$3)-1)+31))=2,DAY((DATE($B$3,2,1)-(WEEKDAY(DATE($B$3,2,1),$G$3)-1)+31)),"")</f>
        <v/>
      </c>
      <c r="M11" s="6">
        <f>IF(MONTH((DATE($B$3,2,1)-(WEEKDAY(DATE($B$3,2,1),$G$3)-1)+32))=2,DAY((DATE($B$3,2,1)-(WEEKDAY(DATE($B$3,2,1),$G$3)-1)+32)),"")</f>
        <v/>
      </c>
      <c r="N11" s="6">
        <f>IF(MONTH((DATE($B$3,2,1)-(WEEKDAY(DATE($B$3,2,1),$G$3)-1)+33))=2,DAY((DATE($B$3,2,1)-(WEEKDAY(DATE($B$3,2,1),$G$3)-1)+33)),"")</f>
        <v/>
      </c>
      <c r="O11" s="6">
        <f>IF(MONTH((DATE($B$3,2,1)-(WEEKDAY(DATE($B$3,2,1),$G$3)-1)+34))=2,DAY((DATE($B$3,2,1)-(WEEKDAY(DATE($B$3,2,1),$G$3)-1)+34)),"")</f>
        <v/>
      </c>
      <c r="Q11" s="6">
        <f>IF(MONTH((DATE($B$3,3,1)-(WEEKDAY(DATE($B$3,3,1),$G$3)-1)+28))=3,DAY((DATE($B$3,3,1)-(WEEKDAY(DATE($B$3,3,1),$G$3)-1)+28)),"")</f>
        <v/>
      </c>
      <c r="R11" s="6">
        <f>IF(MONTH((DATE($B$3,3,1)-(WEEKDAY(DATE($B$3,3,1),$G$3)-1)+29))=3,DAY((DATE($B$3,3,1)-(WEEKDAY(DATE($B$3,3,1),$G$3)-1)+29)),"")</f>
        <v/>
      </c>
      <c r="S11" s="6">
        <f>IF(MONTH((DATE($B$3,3,1)-(WEEKDAY(DATE($B$3,3,1),$G$3)-1)+30))=3,DAY((DATE($B$3,3,1)-(WEEKDAY(DATE($B$3,3,1),$G$3)-1)+30)),"")</f>
        <v/>
      </c>
      <c r="T11" s="6">
        <f>IF(MONTH((DATE($B$3,3,1)-(WEEKDAY(DATE($B$3,3,1),$G$3)-1)+31))=3,DAY((DATE($B$3,3,1)-(WEEKDAY(DATE($B$3,3,1),$G$3)-1)+31)),"")</f>
        <v/>
      </c>
      <c r="U11" s="6">
        <f>IF(MONTH((DATE($B$3,3,1)-(WEEKDAY(DATE($B$3,3,1),$G$3)-1)+32))=3,DAY((DATE($B$3,3,1)-(WEEKDAY(DATE($B$3,3,1),$G$3)-1)+32)),"")</f>
        <v/>
      </c>
      <c r="V11" s="6">
        <f>IF(MONTH((DATE($B$3,3,1)-(WEEKDAY(DATE($B$3,3,1),$G$3)-1)+33))=3,DAY((DATE($B$3,3,1)-(WEEKDAY(DATE($B$3,3,1),$G$3)-1)+33)),"")</f>
        <v/>
      </c>
      <c r="W11" s="6">
        <f>IF(MONTH((DATE($B$3,3,1)-(WEEKDAY(DATE($B$3,3,1),$G$3)-1)+34))=3,DAY((DATE($B$3,3,1)-(WEEKDAY(DATE($B$3,3,1),$G$3)-1)+34)),"")</f>
        <v/>
      </c>
    </row>
    <row r="12">
      <c r="A12" s="6">
        <f>IF(MONTH((DATE($B$3,1,1)-(WEEKDAY(DATE($B$3,1,1),$G$3)-1)+35))=1,DAY((DATE($B$3,1,1)-(WEEKDAY(DATE($B$3,1,1),$G$3)-1)+35)),"")</f>
        <v/>
      </c>
      <c r="B12" s="6">
        <f>IF(MONTH((DATE($B$3,1,1)-(WEEKDAY(DATE($B$3,1,1),$G$3)-1)+36))=1,DAY((DATE($B$3,1,1)-(WEEKDAY(DATE($B$3,1,1),$G$3)-1)+36)),"")</f>
        <v/>
      </c>
      <c r="C12" s="6">
        <f>IF(MONTH((DATE($B$3,1,1)-(WEEKDAY(DATE($B$3,1,1),$G$3)-1)+37))=1,DAY((DATE($B$3,1,1)-(WEEKDAY(DATE($B$3,1,1),$G$3)-1)+37)),"")</f>
        <v/>
      </c>
      <c r="D12" s="6">
        <f>IF(MONTH((DATE($B$3,1,1)-(WEEKDAY(DATE($B$3,1,1),$G$3)-1)+38))=1,DAY((DATE($B$3,1,1)-(WEEKDAY(DATE($B$3,1,1),$G$3)-1)+38)),"")</f>
        <v/>
      </c>
      <c r="E12" s="6">
        <f>IF(MONTH((DATE($B$3,1,1)-(WEEKDAY(DATE($B$3,1,1),$G$3)-1)+39))=1,DAY((DATE($B$3,1,1)-(WEEKDAY(DATE($B$3,1,1),$G$3)-1)+39)),"")</f>
        <v/>
      </c>
      <c r="F12" s="6">
        <f>IF(MONTH((DATE($B$3,1,1)-(WEEKDAY(DATE($B$3,1,1),$G$3)-1)+40))=1,DAY((DATE($B$3,1,1)-(WEEKDAY(DATE($B$3,1,1),$G$3)-1)+40)),"")</f>
        <v/>
      </c>
      <c r="G12" s="6">
        <f>IF(MONTH((DATE($B$3,1,1)-(WEEKDAY(DATE($B$3,1,1),$G$3)-1)+41))=1,DAY((DATE($B$3,1,1)-(WEEKDAY(DATE($B$3,1,1),$G$3)-1)+41)),"")</f>
        <v/>
      </c>
      <c r="I12" s="6">
        <f>IF(MONTH((DATE($B$3,2,1)-(WEEKDAY(DATE($B$3,2,1),$G$3)-1)+35))=2,DAY((DATE($B$3,2,1)-(WEEKDAY(DATE($B$3,2,1),$G$3)-1)+35)),"")</f>
        <v/>
      </c>
      <c r="J12" s="6">
        <f>IF(MONTH((DATE($B$3,2,1)-(WEEKDAY(DATE($B$3,2,1),$G$3)-1)+36))=2,DAY((DATE($B$3,2,1)-(WEEKDAY(DATE($B$3,2,1),$G$3)-1)+36)),"")</f>
        <v/>
      </c>
      <c r="K12" s="6">
        <f>IF(MONTH((DATE($B$3,2,1)-(WEEKDAY(DATE($B$3,2,1),$G$3)-1)+37))=2,DAY((DATE($B$3,2,1)-(WEEKDAY(DATE($B$3,2,1),$G$3)-1)+37)),"")</f>
        <v/>
      </c>
      <c r="L12" s="6">
        <f>IF(MONTH((DATE($B$3,2,1)-(WEEKDAY(DATE($B$3,2,1),$G$3)-1)+38))=2,DAY((DATE($B$3,2,1)-(WEEKDAY(DATE($B$3,2,1),$G$3)-1)+38)),"")</f>
        <v/>
      </c>
      <c r="M12" s="6">
        <f>IF(MONTH((DATE($B$3,2,1)-(WEEKDAY(DATE($B$3,2,1),$G$3)-1)+39))=2,DAY((DATE($B$3,2,1)-(WEEKDAY(DATE($B$3,2,1),$G$3)-1)+39)),"")</f>
        <v/>
      </c>
      <c r="N12" s="6">
        <f>IF(MONTH((DATE($B$3,2,1)-(WEEKDAY(DATE($B$3,2,1),$G$3)-1)+40))=2,DAY((DATE($B$3,2,1)-(WEEKDAY(DATE($B$3,2,1),$G$3)-1)+40)),"")</f>
        <v/>
      </c>
      <c r="O12" s="6">
        <f>IF(MONTH((DATE($B$3,2,1)-(WEEKDAY(DATE($B$3,2,1),$G$3)-1)+41))=2,DAY((DATE($B$3,2,1)-(WEEKDAY(DATE($B$3,2,1),$G$3)-1)+41)),"")</f>
        <v/>
      </c>
      <c r="Q12" s="6">
        <f>IF(MONTH((DATE($B$3,3,1)-(WEEKDAY(DATE($B$3,3,1),$G$3)-1)+35))=3,DAY((DATE($B$3,3,1)-(WEEKDAY(DATE($B$3,3,1),$G$3)-1)+35)),"")</f>
        <v/>
      </c>
      <c r="R12" s="6">
        <f>IF(MONTH((DATE($B$3,3,1)-(WEEKDAY(DATE($B$3,3,1),$G$3)-1)+36))=3,DAY((DATE($B$3,3,1)-(WEEKDAY(DATE($B$3,3,1),$G$3)-1)+36)),"")</f>
        <v/>
      </c>
      <c r="S12" s="6">
        <f>IF(MONTH((DATE($B$3,3,1)-(WEEKDAY(DATE($B$3,3,1),$G$3)-1)+37))=3,DAY((DATE($B$3,3,1)-(WEEKDAY(DATE($B$3,3,1),$G$3)-1)+37)),"")</f>
        <v/>
      </c>
      <c r="T12" s="6">
        <f>IF(MONTH((DATE($B$3,3,1)-(WEEKDAY(DATE($B$3,3,1),$G$3)-1)+38))=3,DAY((DATE($B$3,3,1)-(WEEKDAY(DATE($B$3,3,1),$G$3)-1)+38)),"")</f>
        <v/>
      </c>
      <c r="U12" s="6">
        <f>IF(MONTH((DATE($B$3,3,1)-(WEEKDAY(DATE($B$3,3,1),$G$3)-1)+39))=3,DAY((DATE($B$3,3,1)-(WEEKDAY(DATE($B$3,3,1),$G$3)-1)+39)),"")</f>
        <v/>
      </c>
      <c r="V12" s="6">
        <f>IF(MONTH((DATE($B$3,3,1)-(WEEKDAY(DATE($B$3,3,1),$G$3)-1)+40))=3,DAY((DATE($B$3,3,1)-(WEEKDAY(DATE($B$3,3,1),$G$3)-1)+40)),"")</f>
        <v/>
      </c>
      <c r="W12" s="6">
        <f>IF(MONTH((DATE($B$3,3,1)-(WEEKDAY(DATE($B$3,3,1),$G$3)-1)+41))=3,DAY((DATE($B$3,3,1)-(WEEKDAY(DATE($B$3,3,1),$G$3)-1)+41)),"")</f>
        <v/>
      </c>
    </row>
    <row r="14">
      <c r="A14" s="4">
        <f>TEXT(DATE($B$3,4,1),"mmmm yyyy")</f>
        <v/>
      </c>
      <c r="I14" s="4">
        <f>TEXT(DATE($B$3,5,1),"mmmm yyyy")</f>
        <v/>
      </c>
      <c r="Q14" s="4">
        <f>TEXT(DATE($B$3,6,1),"mmmm yyyy")</f>
        <v/>
      </c>
    </row>
    <row r="15">
      <c r="A15" s="5">
        <f>CHOOSE(MOD(0+$G$3-1,7)+1,"Sun","Mon","Tue","Wed","Thu","Fri","Sat")</f>
        <v/>
      </c>
      <c r="B15" s="5">
        <f>CHOOSE(MOD(1+$G$3-1,7)+1,"Sun","Mon","Tue","Wed","Thu","Fri","Sat")</f>
        <v/>
      </c>
      <c r="C15" s="5">
        <f>CHOOSE(MOD(2+$G$3-1,7)+1,"Sun","Mon","Tue","Wed","Thu","Fri","Sat")</f>
        <v/>
      </c>
      <c r="D15" s="5">
        <f>CHOOSE(MOD(3+$G$3-1,7)+1,"Sun","Mon","Tue","Wed","Thu","Fri","Sat")</f>
        <v/>
      </c>
      <c r="E15" s="5">
        <f>CHOOSE(MOD(4+$G$3-1,7)+1,"Sun","Mon","Tue","Wed","Thu","Fri","Sat")</f>
        <v/>
      </c>
      <c r="F15" s="5">
        <f>CHOOSE(MOD(5+$G$3-1,7)+1,"Sun","Mon","Tue","Wed","Thu","Fri","Sat")</f>
        <v/>
      </c>
      <c r="G15" s="5">
        <f>CHOOSE(MOD(6+$G$3-1,7)+1,"Sun","Mon","Tue","Wed","Thu","Fri","Sat")</f>
        <v/>
      </c>
      <c r="I15" s="5">
        <f>CHOOSE(MOD(0+$G$3-1,7)+1,"Sun","Mon","Tue","Wed","Thu","Fri","Sat")</f>
        <v/>
      </c>
      <c r="J15" s="5">
        <f>CHOOSE(MOD(1+$G$3-1,7)+1,"Sun","Mon","Tue","Wed","Thu","Fri","Sat")</f>
        <v/>
      </c>
      <c r="K15" s="5">
        <f>CHOOSE(MOD(2+$G$3-1,7)+1,"Sun","Mon","Tue","Wed","Thu","Fri","Sat")</f>
        <v/>
      </c>
      <c r="L15" s="5">
        <f>CHOOSE(MOD(3+$G$3-1,7)+1,"Sun","Mon","Tue","Wed","Thu","Fri","Sat")</f>
        <v/>
      </c>
      <c r="M15" s="5">
        <f>CHOOSE(MOD(4+$G$3-1,7)+1,"Sun","Mon","Tue","Wed","Thu","Fri","Sat")</f>
        <v/>
      </c>
      <c r="N15" s="5">
        <f>CHOOSE(MOD(5+$G$3-1,7)+1,"Sun","Mon","Tue","Wed","Thu","Fri","Sat")</f>
        <v/>
      </c>
      <c r="O15" s="5">
        <f>CHOOSE(MOD(6+$G$3-1,7)+1,"Sun","Mon","Tue","Wed","Thu","Fri","Sat")</f>
        <v/>
      </c>
      <c r="Q15" s="5">
        <f>CHOOSE(MOD(0+$G$3-1,7)+1,"Sun","Mon","Tue","Wed","Thu","Fri","Sat")</f>
        <v/>
      </c>
      <c r="R15" s="5">
        <f>CHOOSE(MOD(1+$G$3-1,7)+1,"Sun","Mon","Tue","Wed","Thu","Fri","Sat")</f>
        <v/>
      </c>
      <c r="S15" s="5">
        <f>CHOOSE(MOD(2+$G$3-1,7)+1,"Sun","Mon","Tue","Wed","Thu","Fri","Sat")</f>
        <v/>
      </c>
      <c r="T15" s="5">
        <f>CHOOSE(MOD(3+$G$3-1,7)+1,"Sun","Mon","Tue","Wed","Thu","Fri","Sat")</f>
        <v/>
      </c>
      <c r="U15" s="5">
        <f>CHOOSE(MOD(4+$G$3-1,7)+1,"Sun","Mon","Tue","Wed","Thu","Fri","Sat")</f>
        <v/>
      </c>
      <c r="V15" s="5">
        <f>CHOOSE(MOD(5+$G$3-1,7)+1,"Sun","Mon","Tue","Wed","Thu","Fri","Sat")</f>
        <v/>
      </c>
      <c r="W15" s="5">
        <f>CHOOSE(MOD(6+$G$3-1,7)+1,"Sun","Mon","Tue","Wed","Thu","Fri","Sat")</f>
        <v/>
      </c>
    </row>
    <row r="16">
      <c r="A16" s="6">
        <f>IF(MONTH((DATE($B$3,4,1)-(WEEKDAY(DATE($B$3,4,1),$G$3)-1)+0))=4,DAY((DATE($B$3,4,1)-(WEEKDAY(DATE($B$3,4,1),$G$3)-1)+0)),"")</f>
        <v/>
      </c>
      <c r="B16" s="6">
        <f>IF(MONTH((DATE($B$3,4,1)-(WEEKDAY(DATE($B$3,4,1),$G$3)-1)+1))=4,DAY((DATE($B$3,4,1)-(WEEKDAY(DATE($B$3,4,1),$G$3)-1)+1)),"")</f>
        <v/>
      </c>
      <c r="C16" s="6">
        <f>IF(MONTH((DATE($B$3,4,1)-(WEEKDAY(DATE($B$3,4,1),$G$3)-1)+2))=4,DAY((DATE($B$3,4,1)-(WEEKDAY(DATE($B$3,4,1),$G$3)-1)+2)),"")</f>
        <v/>
      </c>
      <c r="D16" s="6">
        <f>IF(MONTH((DATE($B$3,4,1)-(WEEKDAY(DATE($B$3,4,1),$G$3)-1)+3))=4,DAY((DATE($B$3,4,1)-(WEEKDAY(DATE($B$3,4,1),$G$3)-1)+3)),"")</f>
        <v/>
      </c>
      <c r="E16" s="6">
        <f>IF(MONTH((DATE($B$3,4,1)-(WEEKDAY(DATE($B$3,4,1),$G$3)-1)+4))=4,DAY((DATE($B$3,4,1)-(WEEKDAY(DATE($B$3,4,1),$G$3)-1)+4)),"")</f>
        <v/>
      </c>
      <c r="F16" s="6">
        <f>IF(MONTH((DATE($B$3,4,1)-(WEEKDAY(DATE($B$3,4,1),$G$3)-1)+5))=4,DAY((DATE($B$3,4,1)-(WEEKDAY(DATE($B$3,4,1),$G$3)-1)+5)),"")</f>
        <v/>
      </c>
      <c r="G16" s="6">
        <f>IF(MONTH((DATE($B$3,4,1)-(WEEKDAY(DATE($B$3,4,1),$G$3)-1)+6))=4,DAY((DATE($B$3,4,1)-(WEEKDAY(DATE($B$3,4,1),$G$3)-1)+6)),"")</f>
        <v/>
      </c>
      <c r="I16" s="6">
        <f>IF(MONTH((DATE($B$3,5,1)-(WEEKDAY(DATE($B$3,5,1),$G$3)-1)+0))=5,DAY((DATE($B$3,5,1)-(WEEKDAY(DATE($B$3,5,1),$G$3)-1)+0)),"")</f>
        <v/>
      </c>
      <c r="J16" s="6">
        <f>IF(MONTH((DATE($B$3,5,1)-(WEEKDAY(DATE($B$3,5,1),$G$3)-1)+1))=5,DAY((DATE($B$3,5,1)-(WEEKDAY(DATE($B$3,5,1),$G$3)-1)+1)),"")</f>
        <v/>
      </c>
      <c r="K16" s="6">
        <f>IF(MONTH((DATE($B$3,5,1)-(WEEKDAY(DATE($B$3,5,1),$G$3)-1)+2))=5,DAY((DATE($B$3,5,1)-(WEEKDAY(DATE($B$3,5,1),$G$3)-1)+2)),"")</f>
        <v/>
      </c>
      <c r="L16" s="6">
        <f>IF(MONTH((DATE($B$3,5,1)-(WEEKDAY(DATE($B$3,5,1),$G$3)-1)+3))=5,DAY((DATE($B$3,5,1)-(WEEKDAY(DATE($B$3,5,1),$G$3)-1)+3)),"")</f>
        <v/>
      </c>
      <c r="M16" s="6">
        <f>IF(MONTH((DATE($B$3,5,1)-(WEEKDAY(DATE($B$3,5,1),$G$3)-1)+4))=5,DAY((DATE($B$3,5,1)-(WEEKDAY(DATE($B$3,5,1),$G$3)-1)+4)),"")</f>
        <v/>
      </c>
      <c r="N16" s="6">
        <f>IF(MONTH((DATE($B$3,5,1)-(WEEKDAY(DATE($B$3,5,1),$G$3)-1)+5))=5,DAY((DATE($B$3,5,1)-(WEEKDAY(DATE($B$3,5,1),$G$3)-1)+5)),"")</f>
        <v/>
      </c>
      <c r="O16" s="6">
        <f>IF(MONTH((DATE($B$3,5,1)-(WEEKDAY(DATE($B$3,5,1),$G$3)-1)+6))=5,DAY((DATE($B$3,5,1)-(WEEKDAY(DATE($B$3,5,1),$G$3)-1)+6)),"")</f>
        <v/>
      </c>
      <c r="Q16" s="6">
        <f>IF(MONTH((DATE($B$3,6,1)-(WEEKDAY(DATE($B$3,6,1),$G$3)-1)+0))=6,DAY((DATE($B$3,6,1)-(WEEKDAY(DATE($B$3,6,1),$G$3)-1)+0)),"")</f>
        <v/>
      </c>
      <c r="R16" s="6">
        <f>IF(MONTH((DATE($B$3,6,1)-(WEEKDAY(DATE($B$3,6,1),$G$3)-1)+1))=6,DAY((DATE($B$3,6,1)-(WEEKDAY(DATE($B$3,6,1),$G$3)-1)+1)),"")</f>
        <v/>
      </c>
      <c r="S16" s="6">
        <f>IF(MONTH((DATE($B$3,6,1)-(WEEKDAY(DATE($B$3,6,1),$G$3)-1)+2))=6,DAY((DATE($B$3,6,1)-(WEEKDAY(DATE($B$3,6,1),$G$3)-1)+2)),"")</f>
        <v/>
      </c>
      <c r="T16" s="6">
        <f>IF(MONTH((DATE($B$3,6,1)-(WEEKDAY(DATE($B$3,6,1),$G$3)-1)+3))=6,DAY((DATE($B$3,6,1)-(WEEKDAY(DATE($B$3,6,1),$G$3)-1)+3)),"")</f>
        <v/>
      </c>
      <c r="U16" s="6">
        <f>IF(MONTH((DATE($B$3,6,1)-(WEEKDAY(DATE($B$3,6,1),$G$3)-1)+4))=6,DAY((DATE($B$3,6,1)-(WEEKDAY(DATE($B$3,6,1),$G$3)-1)+4)),"")</f>
        <v/>
      </c>
      <c r="V16" s="6">
        <f>IF(MONTH((DATE($B$3,6,1)-(WEEKDAY(DATE($B$3,6,1),$G$3)-1)+5))=6,DAY((DATE($B$3,6,1)-(WEEKDAY(DATE($B$3,6,1),$G$3)-1)+5)),"")</f>
        <v/>
      </c>
      <c r="W16" s="6">
        <f>IF(MONTH((DATE($B$3,6,1)-(WEEKDAY(DATE($B$3,6,1),$G$3)-1)+6))=6,DAY((DATE($B$3,6,1)-(WEEKDAY(DATE($B$3,6,1),$G$3)-1)+6)),"")</f>
        <v/>
      </c>
    </row>
    <row r="17">
      <c r="A17" s="6">
        <f>IF(MONTH((DATE($B$3,4,1)-(WEEKDAY(DATE($B$3,4,1),$G$3)-1)+7))=4,DAY((DATE($B$3,4,1)-(WEEKDAY(DATE($B$3,4,1),$G$3)-1)+7)),"")</f>
        <v/>
      </c>
      <c r="B17" s="6">
        <f>IF(MONTH((DATE($B$3,4,1)-(WEEKDAY(DATE($B$3,4,1),$G$3)-1)+8))=4,DAY((DATE($B$3,4,1)-(WEEKDAY(DATE($B$3,4,1),$G$3)-1)+8)),"")</f>
        <v/>
      </c>
      <c r="C17" s="6">
        <f>IF(MONTH((DATE($B$3,4,1)-(WEEKDAY(DATE($B$3,4,1),$G$3)-1)+9))=4,DAY((DATE($B$3,4,1)-(WEEKDAY(DATE($B$3,4,1),$G$3)-1)+9)),"")</f>
        <v/>
      </c>
      <c r="D17" s="6">
        <f>IF(MONTH((DATE($B$3,4,1)-(WEEKDAY(DATE($B$3,4,1),$G$3)-1)+10))=4,DAY((DATE($B$3,4,1)-(WEEKDAY(DATE($B$3,4,1),$G$3)-1)+10)),"")</f>
        <v/>
      </c>
      <c r="E17" s="6">
        <f>IF(MONTH((DATE($B$3,4,1)-(WEEKDAY(DATE($B$3,4,1),$G$3)-1)+11))=4,DAY((DATE($B$3,4,1)-(WEEKDAY(DATE($B$3,4,1),$G$3)-1)+11)),"")</f>
        <v/>
      </c>
      <c r="F17" s="6">
        <f>IF(MONTH((DATE($B$3,4,1)-(WEEKDAY(DATE($B$3,4,1),$G$3)-1)+12))=4,DAY((DATE($B$3,4,1)-(WEEKDAY(DATE($B$3,4,1),$G$3)-1)+12)),"")</f>
        <v/>
      </c>
      <c r="G17" s="6">
        <f>IF(MONTH((DATE($B$3,4,1)-(WEEKDAY(DATE($B$3,4,1),$G$3)-1)+13))=4,DAY((DATE($B$3,4,1)-(WEEKDAY(DATE($B$3,4,1),$G$3)-1)+13)),"")</f>
        <v/>
      </c>
      <c r="I17" s="6">
        <f>IF(MONTH((DATE($B$3,5,1)-(WEEKDAY(DATE($B$3,5,1),$G$3)-1)+7))=5,DAY((DATE($B$3,5,1)-(WEEKDAY(DATE($B$3,5,1),$G$3)-1)+7)),"")</f>
        <v/>
      </c>
      <c r="J17" s="6">
        <f>IF(MONTH((DATE($B$3,5,1)-(WEEKDAY(DATE($B$3,5,1),$G$3)-1)+8))=5,DAY((DATE($B$3,5,1)-(WEEKDAY(DATE($B$3,5,1),$G$3)-1)+8)),"")</f>
        <v/>
      </c>
      <c r="K17" s="6">
        <f>IF(MONTH((DATE($B$3,5,1)-(WEEKDAY(DATE($B$3,5,1),$G$3)-1)+9))=5,DAY((DATE($B$3,5,1)-(WEEKDAY(DATE($B$3,5,1),$G$3)-1)+9)),"")</f>
        <v/>
      </c>
      <c r="L17" s="6">
        <f>IF(MONTH((DATE($B$3,5,1)-(WEEKDAY(DATE($B$3,5,1),$G$3)-1)+10))=5,DAY((DATE($B$3,5,1)-(WEEKDAY(DATE($B$3,5,1),$G$3)-1)+10)),"")</f>
        <v/>
      </c>
      <c r="M17" s="6">
        <f>IF(MONTH((DATE($B$3,5,1)-(WEEKDAY(DATE($B$3,5,1),$G$3)-1)+11))=5,DAY((DATE($B$3,5,1)-(WEEKDAY(DATE($B$3,5,1),$G$3)-1)+11)),"")</f>
        <v/>
      </c>
      <c r="N17" s="6">
        <f>IF(MONTH((DATE($B$3,5,1)-(WEEKDAY(DATE($B$3,5,1),$G$3)-1)+12))=5,DAY((DATE($B$3,5,1)-(WEEKDAY(DATE($B$3,5,1),$G$3)-1)+12)),"")</f>
        <v/>
      </c>
      <c r="O17" s="6">
        <f>IF(MONTH((DATE($B$3,5,1)-(WEEKDAY(DATE($B$3,5,1),$G$3)-1)+13))=5,DAY((DATE($B$3,5,1)-(WEEKDAY(DATE($B$3,5,1),$G$3)-1)+13)),"")</f>
        <v/>
      </c>
      <c r="Q17" s="6">
        <f>IF(MONTH((DATE($B$3,6,1)-(WEEKDAY(DATE($B$3,6,1),$G$3)-1)+7))=6,DAY((DATE($B$3,6,1)-(WEEKDAY(DATE($B$3,6,1),$G$3)-1)+7)),"")</f>
        <v/>
      </c>
      <c r="R17" s="6">
        <f>IF(MONTH((DATE($B$3,6,1)-(WEEKDAY(DATE($B$3,6,1),$G$3)-1)+8))=6,DAY((DATE($B$3,6,1)-(WEEKDAY(DATE($B$3,6,1),$G$3)-1)+8)),"")</f>
        <v/>
      </c>
      <c r="S17" s="6">
        <f>IF(MONTH((DATE($B$3,6,1)-(WEEKDAY(DATE($B$3,6,1),$G$3)-1)+9))=6,DAY((DATE($B$3,6,1)-(WEEKDAY(DATE($B$3,6,1),$G$3)-1)+9)),"")</f>
        <v/>
      </c>
      <c r="T17" s="6">
        <f>IF(MONTH((DATE($B$3,6,1)-(WEEKDAY(DATE($B$3,6,1),$G$3)-1)+10))=6,DAY((DATE($B$3,6,1)-(WEEKDAY(DATE($B$3,6,1),$G$3)-1)+10)),"")</f>
        <v/>
      </c>
      <c r="U17" s="6">
        <f>IF(MONTH((DATE($B$3,6,1)-(WEEKDAY(DATE($B$3,6,1),$G$3)-1)+11))=6,DAY((DATE($B$3,6,1)-(WEEKDAY(DATE($B$3,6,1),$G$3)-1)+11)),"")</f>
        <v/>
      </c>
      <c r="V17" s="6">
        <f>IF(MONTH((DATE($B$3,6,1)-(WEEKDAY(DATE($B$3,6,1),$G$3)-1)+12))=6,DAY((DATE($B$3,6,1)-(WEEKDAY(DATE($B$3,6,1),$G$3)-1)+12)),"")</f>
        <v/>
      </c>
      <c r="W17" s="6">
        <f>IF(MONTH((DATE($B$3,6,1)-(WEEKDAY(DATE($B$3,6,1),$G$3)-1)+13))=6,DAY((DATE($B$3,6,1)-(WEEKDAY(DATE($B$3,6,1),$G$3)-1)+13)),"")</f>
        <v/>
      </c>
    </row>
    <row r="18">
      <c r="A18" s="6">
        <f>IF(MONTH((DATE($B$3,4,1)-(WEEKDAY(DATE($B$3,4,1),$G$3)-1)+14))=4,DAY((DATE($B$3,4,1)-(WEEKDAY(DATE($B$3,4,1),$G$3)-1)+14)),"")</f>
        <v/>
      </c>
      <c r="B18" s="6">
        <f>IF(MONTH((DATE($B$3,4,1)-(WEEKDAY(DATE($B$3,4,1),$G$3)-1)+15))=4,DAY((DATE($B$3,4,1)-(WEEKDAY(DATE($B$3,4,1),$G$3)-1)+15)),"")</f>
        <v/>
      </c>
      <c r="C18" s="6">
        <f>IF(MONTH((DATE($B$3,4,1)-(WEEKDAY(DATE($B$3,4,1),$G$3)-1)+16))=4,DAY((DATE($B$3,4,1)-(WEEKDAY(DATE($B$3,4,1),$G$3)-1)+16)),"")</f>
        <v/>
      </c>
      <c r="D18" s="6">
        <f>IF(MONTH((DATE($B$3,4,1)-(WEEKDAY(DATE($B$3,4,1),$G$3)-1)+17))=4,DAY((DATE($B$3,4,1)-(WEEKDAY(DATE($B$3,4,1),$G$3)-1)+17)),"")</f>
        <v/>
      </c>
      <c r="E18" s="6">
        <f>IF(MONTH((DATE($B$3,4,1)-(WEEKDAY(DATE($B$3,4,1),$G$3)-1)+18))=4,DAY((DATE($B$3,4,1)-(WEEKDAY(DATE($B$3,4,1),$G$3)-1)+18)),"")</f>
        <v/>
      </c>
      <c r="F18" s="6">
        <f>IF(MONTH((DATE($B$3,4,1)-(WEEKDAY(DATE($B$3,4,1),$G$3)-1)+19))=4,DAY((DATE($B$3,4,1)-(WEEKDAY(DATE($B$3,4,1),$G$3)-1)+19)),"")</f>
        <v/>
      </c>
      <c r="G18" s="6">
        <f>IF(MONTH((DATE($B$3,4,1)-(WEEKDAY(DATE($B$3,4,1),$G$3)-1)+20))=4,DAY((DATE($B$3,4,1)-(WEEKDAY(DATE($B$3,4,1),$G$3)-1)+20)),"")</f>
        <v/>
      </c>
      <c r="I18" s="6">
        <f>IF(MONTH((DATE($B$3,5,1)-(WEEKDAY(DATE($B$3,5,1),$G$3)-1)+14))=5,DAY((DATE($B$3,5,1)-(WEEKDAY(DATE($B$3,5,1),$G$3)-1)+14)),"")</f>
        <v/>
      </c>
      <c r="J18" s="6">
        <f>IF(MONTH((DATE($B$3,5,1)-(WEEKDAY(DATE($B$3,5,1),$G$3)-1)+15))=5,DAY((DATE($B$3,5,1)-(WEEKDAY(DATE($B$3,5,1),$G$3)-1)+15)),"")</f>
        <v/>
      </c>
      <c r="K18" s="6">
        <f>IF(MONTH((DATE($B$3,5,1)-(WEEKDAY(DATE($B$3,5,1),$G$3)-1)+16))=5,DAY((DATE($B$3,5,1)-(WEEKDAY(DATE($B$3,5,1),$G$3)-1)+16)),"")</f>
        <v/>
      </c>
      <c r="L18" s="6">
        <f>IF(MONTH((DATE($B$3,5,1)-(WEEKDAY(DATE($B$3,5,1),$G$3)-1)+17))=5,DAY((DATE($B$3,5,1)-(WEEKDAY(DATE($B$3,5,1),$G$3)-1)+17)),"")</f>
        <v/>
      </c>
      <c r="M18" s="6">
        <f>IF(MONTH((DATE($B$3,5,1)-(WEEKDAY(DATE($B$3,5,1),$G$3)-1)+18))=5,DAY((DATE($B$3,5,1)-(WEEKDAY(DATE($B$3,5,1),$G$3)-1)+18)),"")</f>
        <v/>
      </c>
      <c r="N18" s="6">
        <f>IF(MONTH((DATE($B$3,5,1)-(WEEKDAY(DATE($B$3,5,1),$G$3)-1)+19))=5,DAY((DATE($B$3,5,1)-(WEEKDAY(DATE($B$3,5,1),$G$3)-1)+19)),"")</f>
        <v/>
      </c>
      <c r="O18" s="6">
        <f>IF(MONTH((DATE($B$3,5,1)-(WEEKDAY(DATE($B$3,5,1),$G$3)-1)+20))=5,DAY((DATE($B$3,5,1)-(WEEKDAY(DATE($B$3,5,1),$G$3)-1)+20)),"")</f>
        <v/>
      </c>
      <c r="Q18" s="6">
        <f>IF(MONTH((DATE($B$3,6,1)-(WEEKDAY(DATE($B$3,6,1),$G$3)-1)+14))=6,DAY((DATE($B$3,6,1)-(WEEKDAY(DATE($B$3,6,1),$G$3)-1)+14)),"")</f>
        <v/>
      </c>
      <c r="R18" s="6">
        <f>IF(MONTH((DATE($B$3,6,1)-(WEEKDAY(DATE($B$3,6,1),$G$3)-1)+15))=6,DAY((DATE($B$3,6,1)-(WEEKDAY(DATE($B$3,6,1),$G$3)-1)+15)),"")</f>
        <v/>
      </c>
      <c r="S18" s="6">
        <f>IF(MONTH((DATE($B$3,6,1)-(WEEKDAY(DATE($B$3,6,1),$G$3)-1)+16))=6,DAY((DATE($B$3,6,1)-(WEEKDAY(DATE($B$3,6,1),$G$3)-1)+16)),"")</f>
        <v/>
      </c>
      <c r="T18" s="6">
        <f>IF(MONTH((DATE($B$3,6,1)-(WEEKDAY(DATE($B$3,6,1),$G$3)-1)+17))=6,DAY((DATE($B$3,6,1)-(WEEKDAY(DATE($B$3,6,1),$G$3)-1)+17)),"")</f>
        <v/>
      </c>
      <c r="U18" s="6">
        <f>IF(MONTH((DATE($B$3,6,1)-(WEEKDAY(DATE($B$3,6,1),$G$3)-1)+18))=6,DAY((DATE($B$3,6,1)-(WEEKDAY(DATE($B$3,6,1),$G$3)-1)+18)),"")</f>
        <v/>
      </c>
      <c r="V18" s="6">
        <f>IF(MONTH((DATE($B$3,6,1)-(WEEKDAY(DATE($B$3,6,1),$G$3)-1)+19))=6,DAY((DATE($B$3,6,1)-(WEEKDAY(DATE($B$3,6,1),$G$3)-1)+19)),"")</f>
        <v/>
      </c>
      <c r="W18" s="6">
        <f>IF(MONTH((DATE($B$3,6,1)-(WEEKDAY(DATE($B$3,6,1),$G$3)-1)+20))=6,DAY((DATE($B$3,6,1)-(WEEKDAY(DATE($B$3,6,1),$G$3)-1)+20)),"")</f>
        <v/>
      </c>
    </row>
    <row r="19">
      <c r="A19" s="6">
        <f>IF(MONTH((DATE($B$3,4,1)-(WEEKDAY(DATE($B$3,4,1),$G$3)-1)+21))=4,DAY((DATE($B$3,4,1)-(WEEKDAY(DATE($B$3,4,1),$G$3)-1)+21)),"")</f>
        <v/>
      </c>
      <c r="B19" s="6">
        <f>IF(MONTH((DATE($B$3,4,1)-(WEEKDAY(DATE($B$3,4,1),$G$3)-1)+22))=4,DAY((DATE($B$3,4,1)-(WEEKDAY(DATE($B$3,4,1),$G$3)-1)+22)),"")</f>
        <v/>
      </c>
      <c r="C19" s="6">
        <f>IF(MONTH((DATE($B$3,4,1)-(WEEKDAY(DATE($B$3,4,1),$G$3)-1)+23))=4,DAY((DATE($B$3,4,1)-(WEEKDAY(DATE($B$3,4,1),$G$3)-1)+23)),"")</f>
        <v/>
      </c>
      <c r="D19" s="6">
        <f>IF(MONTH((DATE($B$3,4,1)-(WEEKDAY(DATE($B$3,4,1),$G$3)-1)+24))=4,DAY((DATE($B$3,4,1)-(WEEKDAY(DATE($B$3,4,1),$G$3)-1)+24)),"")</f>
        <v/>
      </c>
      <c r="E19" s="6">
        <f>IF(MONTH((DATE($B$3,4,1)-(WEEKDAY(DATE($B$3,4,1),$G$3)-1)+25))=4,DAY((DATE($B$3,4,1)-(WEEKDAY(DATE($B$3,4,1),$G$3)-1)+25)),"")</f>
        <v/>
      </c>
      <c r="F19" s="6">
        <f>IF(MONTH((DATE($B$3,4,1)-(WEEKDAY(DATE($B$3,4,1),$G$3)-1)+26))=4,DAY((DATE($B$3,4,1)-(WEEKDAY(DATE($B$3,4,1),$G$3)-1)+26)),"")</f>
        <v/>
      </c>
      <c r="G19" s="6">
        <f>IF(MONTH((DATE($B$3,4,1)-(WEEKDAY(DATE($B$3,4,1),$G$3)-1)+27))=4,DAY((DATE($B$3,4,1)-(WEEKDAY(DATE($B$3,4,1),$G$3)-1)+27)),"")</f>
        <v/>
      </c>
      <c r="I19" s="6">
        <f>IF(MONTH((DATE($B$3,5,1)-(WEEKDAY(DATE($B$3,5,1),$G$3)-1)+21))=5,DAY((DATE($B$3,5,1)-(WEEKDAY(DATE($B$3,5,1),$G$3)-1)+21)),"")</f>
        <v/>
      </c>
      <c r="J19" s="6">
        <f>IF(MONTH((DATE($B$3,5,1)-(WEEKDAY(DATE($B$3,5,1),$G$3)-1)+22))=5,DAY((DATE($B$3,5,1)-(WEEKDAY(DATE($B$3,5,1),$G$3)-1)+22)),"")</f>
        <v/>
      </c>
      <c r="K19" s="6">
        <f>IF(MONTH((DATE($B$3,5,1)-(WEEKDAY(DATE($B$3,5,1),$G$3)-1)+23))=5,DAY((DATE($B$3,5,1)-(WEEKDAY(DATE($B$3,5,1),$G$3)-1)+23)),"")</f>
        <v/>
      </c>
      <c r="L19" s="6">
        <f>IF(MONTH((DATE($B$3,5,1)-(WEEKDAY(DATE($B$3,5,1),$G$3)-1)+24))=5,DAY((DATE($B$3,5,1)-(WEEKDAY(DATE($B$3,5,1),$G$3)-1)+24)),"")</f>
        <v/>
      </c>
      <c r="M19" s="6">
        <f>IF(MONTH((DATE($B$3,5,1)-(WEEKDAY(DATE($B$3,5,1),$G$3)-1)+25))=5,DAY((DATE($B$3,5,1)-(WEEKDAY(DATE($B$3,5,1),$G$3)-1)+25)),"")</f>
        <v/>
      </c>
      <c r="N19" s="6">
        <f>IF(MONTH((DATE($B$3,5,1)-(WEEKDAY(DATE($B$3,5,1),$G$3)-1)+26))=5,DAY((DATE($B$3,5,1)-(WEEKDAY(DATE($B$3,5,1),$G$3)-1)+26)),"")</f>
        <v/>
      </c>
      <c r="O19" s="6">
        <f>IF(MONTH((DATE($B$3,5,1)-(WEEKDAY(DATE($B$3,5,1),$G$3)-1)+27))=5,DAY((DATE($B$3,5,1)-(WEEKDAY(DATE($B$3,5,1),$G$3)-1)+27)),"")</f>
        <v/>
      </c>
      <c r="Q19" s="6">
        <f>IF(MONTH((DATE($B$3,6,1)-(WEEKDAY(DATE($B$3,6,1),$G$3)-1)+21))=6,DAY((DATE($B$3,6,1)-(WEEKDAY(DATE($B$3,6,1),$G$3)-1)+21)),"")</f>
        <v/>
      </c>
      <c r="R19" s="6">
        <f>IF(MONTH((DATE($B$3,6,1)-(WEEKDAY(DATE($B$3,6,1),$G$3)-1)+22))=6,DAY((DATE($B$3,6,1)-(WEEKDAY(DATE($B$3,6,1),$G$3)-1)+22)),"")</f>
        <v/>
      </c>
      <c r="S19" s="6">
        <f>IF(MONTH((DATE($B$3,6,1)-(WEEKDAY(DATE($B$3,6,1),$G$3)-1)+23))=6,DAY((DATE($B$3,6,1)-(WEEKDAY(DATE($B$3,6,1),$G$3)-1)+23)),"")</f>
        <v/>
      </c>
      <c r="T19" s="6">
        <f>IF(MONTH((DATE($B$3,6,1)-(WEEKDAY(DATE($B$3,6,1),$G$3)-1)+24))=6,DAY((DATE($B$3,6,1)-(WEEKDAY(DATE($B$3,6,1),$G$3)-1)+24)),"")</f>
        <v/>
      </c>
      <c r="U19" s="6">
        <f>IF(MONTH((DATE($B$3,6,1)-(WEEKDAY(DATE($B$3,6,1),$G$3)-1)+25))=6,DAY((DATE($B$3,6,1)-(WEEKDAY(DATE($B$3,6,1),$G$3)-1)+25)),"")</f>
        <v/>
      </c>
      <c r="V19" s="6">
        <f>IF(MONTH((DATE($B$3,6,1)-(WEEKDAY(DATE($B$3,6,1),$G$3)-1)+26))=6,DAY((DATE($B$3,6,1)-(WEEKDAY(DATE($B$3,6,1),$G$3)-1)+26)),"")</f>
        <v/>
      </c>
      <c r="W19" s="6">
        <f>IF(MONTH((DATE($B$3,6,1)-(WEEKDAY(DATE($B$3,6,1),$G$3)-1)+27))=6,DAY((DATE($B$3,6,1)-(WEEKDAY(DATE($B$3,6,1),$G$3)-1)+27)),"")</f>
        <v/>
      </c>
    </row>
    <row r="20">
      <c r="A20" s="6">
        <f>IF(MONTH((DATE($B$3,4,1)-(WEEKDAY(DATE($B$3,4,1),$G$3)-1)+28))=4,DAY((DATE($B$3,4,1)-(WEEKDAY(DATE($B$3,4,1),$G$3)-1)+28)),"")</f>
        <v/>
      </c>
      <c r="B20" s="6">
        <f>IF(MONTH((DATE($B$3,4,1)-(WEEKDAY(DATE($B$3,4,1),$G$3)-1)+29))=4,DAY((DATE($B$3,4,1)-(WEEKDAY(DATE($B$3,4,1),$G$3)-1)+29)),"")</f>
        <v/>
      </c>
      <c r="C20" s="6">
        <f>IF(MONTH((DATE($B$3,4,1)-(WEEKDAY(DATE($B$3,4,1),$G$3)-1)+30))=4,DAY((DATE($B$3,4,1)-(WEEKDAY(DATE($B$3,4,1),$G$3)-1)+30)),"")</f>
        <v/>
      </c>
      <c r="D20" s="6">
        <f>IF(MONTH((DATE($B$3,4,1)-(WEEKDAY(DATE($B$3,4,1),$G$3)-1)+31))=4,DAY((DATE($B$3,4,1)-(WEEKDAY(DATE($B$3,4,1),$G$3)-1)+31)),"")</f>
        <v/>
      </c>
      <c r="E20" s="6">
        <f>IF(MONTH((DATE($B$3,4,1)-(WEEKDAY(DATE($B$3,4,1),$G$3)-1)+32))=4,DAY((DATE($B$3,4,1)-(WEEKDAY(DATE($B$3,4,1),$G$3)-1)+32)),"")</f>
        <v/>
      </c>
      <c r="F20" s="6">
        <f>IF(MONTH((DATE($B$3,4,1)-(WEEKDAY(DATE($B$3,4,1),$G$3)-1)+33))=4,DAY((DATE($B$3,4,1)-(WEEKDAY(DATE($B$3,4,1),$G$3)-1)+33)),"")</f>
        <v/>
      </c>
      <c r="G20" s="6">
        <f>IF(MONTH((DATE($B$3,4,1)-(WEEKDAY(DATE($B$3,4,1),$G$3)-1)+34))=4,DAY((DATE($B$3,4,1)-(WEEKDAY(DATE($B$3,4,1),$G$3)-1)+34)),"")</f>
        <v/>
      </c>
      <c r="I20" s="6">
        <f>IF(MONTH((DATE($B$3,5,1)-(WEEKDAY(DATE($B$3,5,1),$G$3)-1)+28))=5,DAY((DATE($B$3,5,1)-(WEEKDAY(DATE($B$3,5,1),$G$3)-1)+28)),"")</f>
        <v/>
      </c>
      <c r="J20" s="6">
        <f>IF(MONTH((DATE($B$3,5,1)-(WEEKDAY(DATE($B$3,5,1),$G$3)-1)+29))=5,DAY((DATE($B$3,5,1)-(WEEKDAY(DATE($B$3,5,1),$G$3)-1)+29)),"")</f>
        <v/>
      </c>
      <c r="K20" s="6">
        <f>IF(MONTH((DATE($B$3,5,1)-(WEEKDAY(DATE($B$3,5,1),$G$3)-1)+30))=5,DAY((DATE($B$3,5,1)-(WEEKDAY(DATE($B$3,5,1),$G$3)-1)+30)),"")</f>
        <v/>
      </c>
      <c r="L20" s="6">
        <f>IF(MONTH((DATE($B$3,5,1)-(WEEKDAY(DATE($B$3,5,1),$G$3)-1)+31))=5,DAY((DATE($B$3,5,1)-(WEEKDAY(DATE($B$3,5,1),$G$3)-1)+31)),"")</f>
        <v/>
      </c>
      <c r="M20" s="6">
        <f>IF(MONTH((DATE($B$3,5,1)-(WEEKDAY(DATE($B$3,5,1),$G$3)-1)+32))=5,DAY((DATE($B$3,5,1)-(WEEKDAY(DATE($B$3,5,1),$G$3)-1)+32)),"")</f>
        <v/>
      </c>
      <c r="N20" s="6">
        <f>IF(MONTH((DATE($B$3,5,1)-(WEEKDAY(DATE($B$3,5,1),$G$3)-1)+33))=5,DAY((DATE($B$3,5,1)-(WEEKDAY(DATE($B$3,5,1),$G$3)-1)+33)),"")</f>
        <v/>
      </c>
      <c r="O20" s="6">
        <f>IF(MONTH((DATE($B$3,5,1)-(WEEKDAY(DATE($B$3,5,1),$G$3)-1)+34))=5,DAY((DATE($B$3,5,1)-(WEEKDAY(DATE($B$3,5,1),$G$3)-1)+34)),"")</f>
        <v/>
      </c>
      <c r="Q20" s="6">
        <f>IF(MONTH((DATE($B$3,6,1)-(WEEKDAY(DATE($B$3,6,1),$G$3)-1)+28))=6,DAY((DATE($B$3,6,1)-(WEEKDAY(DATE($B$3,6,1),$G$3)-1)+28)),"")</f>
        <v/>
      </c>
      <c r="R20" s="6">
        <f>IF(MONTH((DATE($B$3,6,1)-(WEEKDAY(DATE($B$3,6,1),$G$3)-1)+29))=6,DAY((DATE($B$3,6,1)-(WEEKDAY(DATE($B$3,6,1),$G$3)-1)+29)),"")</f>
        <v/>
      </c>
      <c r="S20" s="6">
        <f>IF(MONTH((DATE($B$3,6,1)-(WEEKDAY(DATE($B$3,6,1),$G$3)-1)+30))=6,DAY((DATE($B$3,6,1)-(WEEKDAY(DATE($B$3,6,1),$G$3)-1)+30)),"")</f>
        <v/>
      </c>
      <c r="T20" s="6">
        <f>IF(MONTH((DATE($B$3,6,1)-(WEEKDAY(DATE($B$3,6,1),$G$3)-1)+31))=6,DAY((DATE($B$3,6,1)-(WEEKDAY(DATE($B$3,6,1),$G$3)-1)+31)),"")</f>
        <v/>
      </c>
      <c r="U20" s="6">
        <f>IF(MONTH((DATE($B$3,6,1)-(WEEKDAY(DATE($B$3,6,1),$G$3)-1)+32))=6,DAY((DATE($B$3,6,1)-(WEEKDAY(DATE($B$3,6,1),$G$3)-1)+32)),"")</f>
        <v/>
      </c>
      <c r="V20" s="6">
        <f>IF(MONTH((DATE($B$3,6,1)-(WEEKDAY(DATE($B$3,6,1),$G$3)-1)+33))=6,DAY((DATE($B$3,6,1)-(WEEKDAY(DATE($B$3,6,1),$G$3)-1)+33)),"")</f>
        <v/>
      </c>
      <c r="W20" s="6">
        <f>IF(MONTH((DATE($B$3,6,1)-(WEEKDAY(DATE($B$3,6,1),$G$3)-1)+34))=6,DAY((DATE($B$3,6,1)-(WEEKDAY(DATE($B$3,6,1),$G$3)-1)+34)),"")</f>
        <v/>
      </c>
    </row>
    <row r="21">
      <c r="A21" s="6">
        <f>IF(MONTH((DATE($B$3,4,1)-(WEEKDAY(DATE($B$3,4,1),$G$3)-1)+35))=4,DAY((DATE($B$3,4,1)-(WEEKDAY(DATE($B$3,4,1),$G$3)-1)+35)),"")</f>
        <v/>
      </c>
      <c r="B21" s="6">
        <f>IF(MONTH((DATE($B$3,4,1)-(WEEKDAY(DATE($B$3,4,1),$G$3)-1)+36))=4,DAY((DATE($B$3,4,1)-(WEEKDAY(DATE($B$3,4,1),$G$3)-1)+36)),"")</f>
        <v/>
      </c>
      <c r="C21" s="6">
        <f>IF(MONTH((DATE($B$3,4,1)-(WEEKDAY(DATE($B$3,4,1),$G$3)-1)+37))=4,DAY((DATE($B$3,4,1)-(WEEKDAY(DATE($B$3,4,1),$G$3)-1)+37)),"")</f>
        <v/>
      </c>
      <c r="D21" s="6">
        <f>IF(MONTH((DATE($B$3,4,1)-(WEEKDAY(DATE($B$3,4,1),$G$3)-1)+38))=4,DAY((DATE($B$3,4,1)-(WEEKDAY(DATE($B$3,4,1),$G$3)-1)+38)),"")</f>
        <v/>
      </c>
      <c r="E21" s="6">
        <f>IF(MONTH((DATE($B$3,4,1)-(WEEKDAY(DATE($B$3,4,1),$G$3)-1)+39))=4,DAY((DATE($B$3,4,1)-(WEEKDAY(DATE($B$3,4,1),$G$3)-1)+39)),"")</f>
        <v/>
      </c>
      <c r="F21" s="6">
        <f>IF(MONTH((DATE($B$3,4,1)-(WEEKDAY(DATE($B$3,4,1),$G$3)-1)+40))=4,DAY((DATE($B$3,4,1)-(WEEKDAY(DATE($B$3,4,1),$G$3)-1)+40)),"")</f>
        <v/>
      </c>
      <c r="G21" s="6">
        <f>IF(MONTH((DATE($B$3,4,1)-(WEEKDAY(DATE($B$3,4,1),$G$3)-1)+41))=4,DAY((DATE($B$3,4,1)-(WEEKDAY(DATE($B$3,4,1),$G$3)-1)+41)),"")</f>
        <v/>
      </c>
      <c r="I21" s="6">
        <f>IF(MONTH((DATE($B$3,5,1)-(WEEKDAY(DATE($B$3,5,1),$G$3)-1)+35))=5,DAY((DATE($B$3,5,1)-(WEEKDAY(DATE($B$3,5,1),$G$3)-1)+35)),"")</f>
        <v/>
      </c>
      <c r="J21" s="6">
        <f>IF(MONTH((DATE($B$3,5,1)-(WEEKDAY(DATE($B$3,5,1),$G$3)-1)+36))=5,DAY((DATE($B$3,5,1)-(WEEKDAY(DATE($B$3,5,1),$G$3)-1)+36)),"")</f>
        <v/>
      </c>
      <c r="K21" s="6">
        <f>IF(MONTH((DATE($B$3,5,1)-(WEEKDAY(DATE($B$3,5,1),$G$3)-1)+37))=5,DAY((DATE($B$3,5,1)-(WEEKDAY(DATE($B$3,5,1),$G$3)-1)+37)),"")</f>
        <v/>
      </c>
      <c r="L21" s="6">
        <f>IF(MONTH((DATE($B$3,5,1)-(WEEKDAY(DATE($B$3,5,1),$G$3)-1)+38))=5,DAY((DATE($B$3,5,1)-(WEEKDAY(DATE($B$3,5,1),$G$3)-1)+38)),"")</f>
        <v/>
      </c>
      <c r="M21" s="6">
        <f>IF(MONTH((DATE($B$3,5,1)-(WEEKDAY(DATE($B$3,5,1),$G$3)-1)+39))=5,DAY((DATE($B$3,5,1)-(WEEKDAY(DATE($B$3,5,1),$G$3)-1)+39)),"")</f>
        <v/>
      </c>
      <c r="N21" s="6">
        <f>IF(MONTH((DATE($B$3,5,1)-(WEEKDAY(DATE($B$3,5,1),$G$3)-1)+40))=5,DAY((DATE($B$3,5,1)-(WEEKDAY(DATE($B$3,5,1),$G$3)-1)+40)),"")</f>
        <v/>
      </c>
      <c r="O21" s="6">
        <f>IF(MONTH((DATE($B$3,5,1)-(WEEKDAY(DATE($B$3,5,1),$G$3)-1)+41))=5,DAY((DATE($B$3,5,1)-(WEEKDAY(DATE($B$3,5,1),$G$3)-1)+41)),"")</f>
        <v/>
      </c>
      <c r="Q21" s="6">
        <f>IF(MONTH((DATE($B$3,6,1)-(WEEKDAY(DATE($B$3,6,1),$G$3)-1)+35))=6,DAY((DATE($B$3,6,1)-(WEEKDAY(DATE($B$3,6,1),$G$3)-1)+35)),"")</f>
        <v/>
      </c>
      <c r="R21" s="6">
        <f>IF(MONTH((DATE($B$3,6,1)-(WEEKDAY(DATE($B$3,6,1),$G$3)-1)+36))=6,DAY((DATE($B$3,6,1)-(WEEKDAY(DATE($B$3,6,1),$G$3)-1)+36)),"")</f>
        <v/>
      </c>
      <c r="S21" s="6">
        <f>IF(MONTH((DATE($B$3,6,1)-(WEEKDAY(DATE($B$3,6,1),$G$3)-1)+37))=6,DAY((DATE($B$3,6,1)-(WEEKDAY(DATE($B$3,6,1),$G$3)-1)+37)),"")</f>
        <v/>
      </c>
      <c r="T21" s="6">
        <f>IF(MONTH((DATE($B$3,6,1)-(WEEKDAY(DATE($B$3,6,1),$G$3)-1)+38))=6,DAY((DATE($B$3,6,1)-(WEEKDAY(DATE($B$3,6,1),$G$3)-1)+38)),"")</f>
        <v/>
      </c>
      <c r="U21" s="6">
        <f>IF(MONTH((DATE($B$3,6,1)-(WEEKDAY(DATE($B$3,6,1),$G$3)-1)+39))=6,DAY((DATE($B$3,6,1)-(WEEKDAY(DATE($B$3,6,1),$G$3)-1)+39)),"")</f>
        <v/>
      </c>
      <c r="V21" s="6">
        <f>IF(MONTH((DATE($B$3,6,1)-(WEEKDAY(DATE($B$3,6,1),$G$3)-1)+40))=6,DAY((DATE($B$3,6,1)-(WEEKDAY(DATE($B$3,6,1),$G$3)-1)+40)),"")</f>
        <v/>
      </c>
      <c r="W21" s="6">
        <f>IF(MONTH((DATE($B$3,6,1)-(WEEKDAY(DATE($B$3,6,1),$G$3)-1)+41))=6,DAY((DATE($B$3,6,1)-(WEEKDAY(DATE($B$3,6,1),$G$3)-1)+41)),"")</f>
        <v/>
      </c>
    </row>
    <row r="23">
      <c r="A23" s="4">
        <f>TEXT(DATE($B$3,7,1),"mmmm yyyy")</f>
        <v/>
      </c>
      <c r="I23" s="4">
        <f>TEXT(DATE($B$3,8,1),"mmmm yyyy")</f>
        <v/>
      </c>
      <c r="Q23" s="4">
        <f>TEXT(DATE($B$3,9,1),"mmmm yyyy")</f>
        <v/>
      </c>
    </row>
    <row r="24">
      <c r="A24" s="5">
        <f>CHOOSE(MOD(0+$G$3-1,7)+1,"Sun","Mon","Tue","Wed","Thu","Fri","Sat")</f>
        <v/>
      </c>
      <c r="B24" s="5">
        <f>CHOOSE(MOD(1+$G$3-1,7)+1,"Sun","Mon","Tue","Wed","Thu","Fri","Sat")</f>
        <v/>
      </c>
      <c r="C24" s="5">
        <f>CHOOSE(MOD(2+$G$3-1,7)+1,"Sun","Mon","Tue","Wed","Thu","Fri","Sat")</f>
        <v/>
      </c>
      <c r="D24" s="5">
        <f>CHOOSE(MOD(3+$G$3-1,7)+1,"Sun","Mon","Tue","Wed","Thu","Fri","Sat")</f>
        <v/>
      </c>
      <c r="E24" s="5">
        <f>CHOOSE(MOD(4+$G$3-1,7)+1,"Sun","Mon","Tue","Wed","Thu","Fri","Sat")</f>
        <v/>
      </c>
      <c r="F24" s="5">
        <f>CHOOSE(MOD(5+$G$3-1,7)+1,"Sun","Mon","Tue","Wed","Thu","Fri","Sat")</f>
        <v/>
      </c>
      <c r="G24" s="5">
        <f>CHOOSE(MOD(6+$G$3-1,7)+1,"Sun","Mon","Tue","Wed","Thu","Fri","Sat")</f>
        <v/>
      </c>
      <c r="I24" s="5">
        <f>CHOOSE(MOD(0+$G$3-1,7)+1,"Sun","Mon","Tue","Wed","Thu","Fri","Sat")</f>
        <v/>
      </c>
      <c r="J24" s="5">
        <f>CHOOSE(MOD(1+$G$3-1,7)+1,"Sun","Mon","Tue","Wed","Thu","Fri","Sat")</f>
        <v/>
      </c>
      <c r="K24" s="5">
        <f>CHOOSE(MOD(2+$G$3-1,7)+1,"Sun","Mon","Tue","Wed","Thu","Fri","Sat")</f>
        <v/>
      </c>
      <c r="L24" s="5">
        <f>CHOOSE(MOD(3+$G$3-1,7)+1,"Sun","Mon","Tue","Wed","Thu","Fri","Sat")</f>
        <v/>
      </c>
      <c r="M24" s="5">
        <f>CHOOSE(MOD(4+$G$3-1,7)+1,"Sun","Mon","Tue","Wed","Thu","Fri","Sat")</f>
        <v/>
      </c>
      <c r="N24" s="5">
        <f>CHOOSE(MOD(5+$G$3-1,7)+1,"Sun","Mon","Tue","Wed","Thu","Fri","Sat")</f>
        <v/>
      </c>
      <c r="O24" s="5">
        <f>CHOOSE(MOD(6+$G$3-1,7)+1,"Sun","Mon","Tue","Wed","Thu","Fri","Sat")</f>
        <v/>
      </c>
      <c r="Q24" s="5">
        <f>CHOOSE(MOD(0+$G$3-1,7)+1,"Sun","Mon","Tue","Wed","Thu","Fri","Sat")</f>
        <v/>
      </c>
      <c r="R24" s="5">
        <f>CHOOSE(MOD(1+$G$3-1,7)+1,"Sun","Mon","Tue","Wed","Thu","Fri","Sat")</f>
        <v/>
      </c>
      <c r="S24" s="5">
        <f>CHOOSE(MOD(2+$G$3-1,7)+1,"Sun","Mon","Tue","Wed","Thu","Fri","Sat")</f>
        <v/>
      </c>
      <c r="T24" s="5">
        <f>CHOOSE(MOD(3+$G$3-1,7)+1,"Sun","Mon","Tue","Wed","Thu","Fri","Sat")</f>
        <v/>
      </c>
      <c r="U24" s="5">
        <f>CHOOSE(MOD(4+$G$3-1,7)+1,"Sun","Mon","Tue","Wed","Thu","Fri","Sat")</f>
        <v/>
      </c>
      <c r="V24" s="5">
        <f>CHOOSE(MOD(5+$G$3-1,7)+1,"Sun","Mon","Tue","Wed","Thu","Fri","Sat")</f>
        <v/>
      </c>
      <c r="W24" s="5">
        <f>CHOOSE(MOD(6+$G$3-1,7)+1,"Sun","Mon","Tue","Wed","Thu","Fri","Sat")</f>
        <v/>
      </c>
    </row>
    <row r="25">
      <c r="A25" s="6">
        <f>IF(MONTH((DATE($B$3,7,1)-(WEEKDAY(DATE($B$3,7,1),$G$3)-1)+0))=7,DAY((DATE($B$3,7,1)-(WEEKDAY(DATE($B$3,7,1),$G$3)-1)+0)),"")</f>
        <v/>
      </c>
      <c r="B25" s="6">
        <f>IF(MONTH((DATE($B$3,7,1)-(WEEKDAY(DATE($B$3,7,1),$G$3)-1)+1))=7,DAY((DATE($B$3,7,1)-(WEEKDAY(DATE($B$3,7,1),$G$3)-1)+1)),"")</f>
        <v/>
      </c>
      <c r="C25" s="6">
        <f>IF(MONTH((DATE($B$3,7,1)-(WEEKDAY(DATE($B$3,7,1),$G$3)-1)+2))=7,DAY((DATE($B$3,7,1)-(WEEKDAY(DATE($B$3,7,1),$G$3)-1)+2)),"")</f>
        <v/>
      </c>
      <c r="D25" s="6">
        <f>IF(MONTH((DATE($B$3,7,1)-(WEEKDAY(DATE($B$3,7,1),$G$3)-1)+3))=7,DAY((DATE($B$3,7,1)-(WEEKDAY(DATE($B$3,7,1),$G$3)-1)+3)),"")</f>
        <v/>
      </c>
      <c r="E25" s="6">
        <f>IF(MONTH((DATE($B$3,7,1)-(WEEKDAY(DATE($B$3,7,1),$G$3)-1)+4))=7,DAY((DATE($B$3,7,1)-(WEEKDAY(DATE($B$3,7,1),$G$3)-1)+4)),"")</f>
        <v/>
      </c>
      <c r="F25" s="6">
        <f>IF(MONTH((DATE($B$3,7,1)-(WEEKDAY(DATE($B$3,7,1),$G$3)-1)+5))=7,DAY((DATE($B$3,7,1)-(WEEKDAY(DATE($B$3,7,1),$G$3)-1)+5)),"")</f>
        <v/>
      </c>
      <c r="G25" s="6">
        <f>IF(MONTH((DATE($B$3,7,1)-(WEEKDAY(DATE($B$3,7,1),$G$3)-1)+6))=7,DAY((DATE($B$3,7,1)-(WEEKDAY(DATE($B$3,7,1),$G$3)-1)+6)),"")</f>
        <v/>
      </c>
      <c r="I25" s="6">
        <f>IF(MONTH((DATE($B$3,8,1)-(WEEKDAY(DATE($B$3,8,1),$G$3)-1)+0))=8,DAY((DATE($B$3,8,1)-(WEEKDAY(DATE($B$3,8,1),$G$3)-1)+0)),"")</f>
        <v/>
      </c>
      <c r="J25" s="6">
        <f>IF(MONTH((DATE($B$3,8,1)-(WEEKDAY(DATE($B$3,8,1),$G$3)-1)+1))=8,DAY((DATE($B$3,8,1)-(WEEKDAY(DATE($B$3,8,1),$G$3)-1)+1)),"")</f>
        <v/>
      </c>
      <c r="K25" s="6">
        <f>IF(MONTH((DATE($B$3,8,1)-(WEEKDAY(DATE($B$3,8,1),$G$3)-1)+2))=8,DAY((DATE($B$3,8,1)-(WEEKDAY(DATE($B$3,8,1),$G$3)-1)+2)),"")</f>
        <v/>
      </c>
      <c r="L25" s="6">
        <f>IF(MONTH((DATE($B$3,8,1)-(WEEKDAY(DATE($B$3,8,1),$G$3)-1)+3))=8,DAY((DATE($B$3,8,1)-(WEEKDAY(DATE($B$3,8,1),$G$3)-1)+3)),"")</f>
        <v/>
      </c>
      <c r="M25" s="6">
        <f>IF(MONTH((DATE($B$3,8,1)-(WEEKDAY(DATE($B$3,8,1),$G$3)-1)+4))=8,DAY((DATE($B$3,8,1)-(WEEKDAY(DATE($B$3,8,1),$G$3)-1)+4)),"")</f>
        <v/>
      </c>
      <c r="N25" s="6">
        <f>IF(MONTH((DATE($B$3,8,1)-(WEEKDAY(DATE($B$3,8,1),$G$3)-1)+5))=8,DAY((DATE($B$3,8,1)-(WEEKDAY(DATE($B$3,8,1),$G$3)-1)+5)),"")</f>
        <v/>
      </c>
      <c r="O25" s="6">
        <f>IF(MONTH((DATE($B$3,8,1)-(WEEKDAY(DATE($B$3,8,1),$G$3)-1)+6))=8,DAY((DATE($B$3,8,1)-(WEEKDAY(DATE($B$3,8,1),$G$3)-1)+6)),"")</f>
        <v/>
      </c>
      <c r="Q25" s="6">
        <f>IF(MONTH((DATE($B$3,9,1)-(WEEKDAY(DATE($B$3,9,1),$G$3)-1)+0))=9,DAY((DATE($B$3,9,1)-(WEEKDAY(DATE($B$3,9,1),$G$3)-1)+0)),"")</f>
        <v/>
      </c>
      <c r="R25" s="6">
        <f>IF(MONTH((DATE($B$3,9,1)-(WEEKDAY(DATE($B$3,9,1),$G$3)-1)+1))=9,DAY((DATE($B$3,9,1)-(WEEKDAY(DATE($B$3,9,1),$G$3)-1)+1)),"")</f>
        <v/>
      </c>
      <c r="S25" s="6">
        <f>IF(MONTH((DATE($B$3,9,1)-(WEEKDAY(DATE($B$3,9,1),$G$3)-1)+2))=9,DAY((DATE($B$3,9,1)-(WEEKDAY(DATE($B$3,9,1),$G$3)-1)+2)),"")</f>
        <v/>
      </c>
      <c r="T25" s="6">
        <f>IF(MONTH((DATE($B$3,9,1)-(WEEKDAY(DATE($B$3,9,1),$G$3)-1)+3))=9,DAY((DATE($B$3,9,1)-(WEEKDAY(DATE($B$3,9,1),$G$3)-1)+3)),"")</f>
        <v/>
      </c>
      <c r="U25" s="6">
        <f>IF(MONTH((DATE($B$3,9,1)-(WEEKDAY(DATE($B$3,9,1),$G$3)-1)+4))=9,DAY((DATE($B$3,9,1)-(WEEKDAY(DATE($B$3,9,1),$G$3)-1)+4)),"")</f>
        <v/>
      </c>
      <c r="V25" s="6">
        <f>IF(MONTH((DATE($B$3,9,1)-(WEEKDAY(DATE($B$3,9,1),$G$3)-1)+5))=9,DAY((DATE($B$3,9,1)-(WEEKDAY(DATE($B$3,9,1),$G$3)-1)+5)),"")</f>
        <v/>
      </c>
      <c r="W25" s="6">
        <f>IF(MONTH((DATE($B$3,9,1)-(WEEKDAY(DATE($B$3,9,1),$G$3)-1)+6))=9,DAY((DATE($B$3,9,1)-(WEEKDAY(DATE($B$3,9,1),$G$3)-1)+6)),"")</f>
        <v/>
      </c>
    </row>
    <row r="26">
      <c r="A26" s="6">
        <f>IF(MONTH((DATE($B$3,7,1)-(WEEKDAY(DATE($B$3,7,1),$G$3)-1)+7))=7,DAY((DATE($B$3,7,1)-(WEEKDAY(DATE($B$3,7,1),$G$3)-1)+7)),"")</f>
        <v/>
      </c>
      <c r="B26" s="6">
        <f>IF(MONTH((DATE($B$3,7,1)-(WEEKDAY(DATE($B$3,7,1),$G$3)-1)+8))=7,DAY((DATE($B$3,7,1)-(WEEKDAY(DATE($B$3,7,1),$G$3)-1)+8)),"")</f>
        <v/>
      </c>
      <c r="C26" s="6">
        <f>IF(MONTH((DATE($B$3,7,1)-(WEEKDAY(DATE($B$3,7,1),$G$3)-1)+9))=7,DAY((DATE($B$3,7,1)-(WEEKDAY(DATE($B$3,7,1),$G$3)-1)+9)),"")</f>
        <v/>
      </c>
      <c r="D26" s="6">
        <f>IF(MONTH((DATE($B$3,7,1)-(WEEKDAY(DATE($B$3,7,1),$G$3)-1)+10))=7,DAY((DATE($B$3,7,1)-(WEEKDAY(DATE($B$3,7,1),$G$3)-1)+10)),"")</f>
        <v/>
      </c>
      <c r="E26" s="6">
        <f>IF(MONTH((DATE($B$3,7,1)-(WEEKDAY(DATE($B$3,7,1),$G$3)-1)+11))=7,DAY((DATE($B$3,7,1)-(WEEKDAY(DATE($B$3,7,1),$G$3)-1)+11)),"")</f>
        <v/>
      </c>
      <c r="F26" s="6">
        <f>IF(MONTH((DATE($B$3,7,1)-(WEEKDAY(DATE($B$3,7,1),$G$3)-1)+12))=7,DAY((DATE($B$3,7,1)-(WEEKDAY(DATE($B$3,7,1),$G$3)-1)+12)),"")</f>
        <v/>
      </c>
      <c r="G26" s="6">
        <f>IF(MONTH((DATE($B$3,7,1)-(WEEKDAY(DATE($B$3,7,1),$G$3)-1)+13))=7,DAY((DATE($B$3,7,1)-(WEEKDAY(DATE($B$3,7,1),$G$3)-1)+13)),"")</f>
        <v/>
      </c>
      <c r="I26" s="6">
        <f>IF(MONTH((DATE($B$3,8,1)-(WEEKDAY(DATE($B$3,8,1),$G$3)-1)+7))=8,DAY((DATE($B$3,8,1)-(WEEKDAY(DATE($B$3,8,1),$G$3)-1)+7)),"")</f>
        <v/>
      </c>
      <c r="J26" s="6">
        <f>IF(MONTH((DATE($B$3,8,1)-(WEEKDAY(DATE($B$3,8,1),$G$3)-1)+8))=8,DAY((DATE($B$3,8,1)-(WEEKDAY(DATE($B$3,8,1),$G$3)-1)+8)),"")</f>
        <v/>
      </c>
      <c r="K26" s="6">
        <f>IF(MONTH((DATE($B$3,8,1)-(WEEKDAY(DATE($B$3,8,1),$G$3)-1)+9))=8,DAY((DATE($B$3,8,1)-(WEEKDAY(DATE($B$3,8,1),$G$3)-1)+9)),"")</f>
        <v/>
      </c>
      <c r="L26" s="6">
        <f>IF(MONTH((DATE($B$3,8,1)-(WEEKDAY(DATE($B$3,8,1),$G$3)-1)+10))=8,DAY((DATE($B$3,8,1)-(WEEKDAY(DATE($B$3,8,1),$G$3)-1)+10)),"")</f>
        <v/>
      </c>
      <c r="M26" s="6">
        <f>IF(MONTH((DATE($B$3,8,1)-(WEEKDAY(DATE($B$3,8,1),$G$3)-1)+11))=8,DAY((DATE($B$3,8,1)-(WEEKDAY(DATE($B$3,8,1),$G$3)-1)+11)),"")</f>
        <v/>
      </c>
      <c r="N26" s="6">
        <f>IF(MONTH((DATE($B$3,8,1)-(WEEKDAY(DATE($B$3,8,1),$G$3)-1)+12))=8,DAY((DATE($B$3,8,1)-(WEEKDAY(DATE($B$3,8,1),$G$3)-1)+12)),"")</f>
        <v/>
      </c>
      <c r="O26" s="6">
        <f>IF(MONTH((DATE($B$3,8,1)-(WEEKDAY(DATE($B$3,8,1),$G$3)-1)+13))=8,DAY((DATE($B$3,8,1)-(WEEKDAY(DATE($B$3,8,1),$G$3)-1)+13)),"")</f>
        <v/>
      </c>
      <c r="Q26" s="6">
        <f>IF(MONTH((DATE($B$3,9,1)-(WEEKDAY(DATE($B$3,9,1),$G$3)-1)+7))=9,DAY((DATE($B$3,9,1)-(WEEKDAY(DATE($B$3,9,1),$G$3)-1)+7)),"")</f>
        <v/>
      </c>
      <c r="R26" s="6">
        <f>IF(MONTH((DATE($B$3,9,1)-(WEEKDAY(DATE($B$3,9,1),$G$3)-1)+8))=9,DAY((DATE($B$3,9,1)-(WEEKDAY(DATE($B$3,9,1),$G$3)-1)+8)),"")</f>
        <v/>
      </c>
      <c r="S26" s="6">
        <f>IF(MONTH((DATE($B$3,9,1)-(WEEKDAY(DATE($B$3,9,1),$G$3)-1)+9))=9,DAY((DATE($B$3,9,1)-(WEEKDAY(DATE($B$3,9,1),$G$3)-1)+9)),"")</f>
        <v/>
      </c>
      <c r="T26" s="6">
        <f>IF(MONTH((DATE($B$3,9,1)-(WEEKDAY(DATE($B$3,9,1),$G$3)-1)+10))=9,DAY((DATE($B$3,9,1)-(WEEKDAY(DATE($B$3,9,1),$G$3)-1)+10)),"")</f>
        <v/>
      </c>
      <c r="U26" s="6">
        <f>IF(MONTH((DATE($B$3,9,1)-(WEEKDAY(DATE($B$3,9,1),$G$3)-1)+11))=9,DAY((DATE($B$3,9,1)-(WEEKDAY(DATE($B$3,9,1),$G$3)-1)+11)),"")</f>
        <v/>
      </c>
      <c r="V26" s="6">
        <f>IF(MONTH((DATE($B$3,9,1)-(WEEKDAY(DATE($B$3,9,1),$G$3)-1)+12))=9,DAY((DATE($B$3,9,1)-(WEEKDAY(DATE($B$3,9,1),$G$3)-1)+12)),"")</f>
        <v/>
      </c>
      <c r="W26" s="6">
        <f>IF(MONTH((DATE($B$3,9,1)-(WEEKDAY(DATE($B$3,9,1),$G$3)-1)+13))=9,DAY((DATE($B$3,9,1)-(WEEKDAY(DATE($B$3,9,1),$G$3)-1)+13)),"")</f>
        <v/>
      </c>
    </row>
    <row r="27">
      <c r="A27" s="6">
        <f>IF(MONTH((DATE($B$3,7,1)-(WEEKDAY(DATE($B$3,7,1),$G$3)-1)+14))=7,DAY((DATE($B$3,7,1)-(WEEKDAY(DATE($B$3,7,1),$G$3)-1)+14)),"")</f>
        <v/>
      </c>
      <c r="B27" s="6">
        <f>IF(MONTH((DATE($B$3,7,1)-(WEEKDAY(DATE($B$3,7,1),$G$3)-1)+15))=7,DAY((DATE($B$3,7,1)-(WEEKDAY(DATE($B$3,7,1),$G$3)-1)+15)),"")</f>
        <v/>
      </c>
      <c r="C27" s="6">
        <f>IF(MONTH((DATE($B$3,7,1)-(WEEKDAY(DATE($B$3,7,1),$G$3)-1)+16))=7,DAY((DATE($B$3,7,1)-(WEEKDAY(DATE($B$3,7,1),$G$3)-1)+16)),"")</f>
        <v/>
      </c>
      <c r="D27" s="6">
        <f>IF(MONTH((DATE($B$3,7,1)-(WEEKDAY(DATE($B$3,7,1),$G$3)-1)+17))=7,DAY((DATE($B$3,7,1)-(WEEKDAY(DATE($B$3,7,1),$G$3)-1)+17)),"")</f>
        <v/>
      </c>
      <c r="E27" s="6">
        <f>IF(MONTH((DATE($B$3,7,1)-(WEEKDAY(DATE($B$3,7,1),$G$3)-1)+18))=7,DAY((DATE($B$3,7,1)-(WEEKDAY(DATE($B$3,7,1),$G$3)-1)+18)),"")</f>
        <v/>
      </c>
      <c r="F27" s="6">
        <f>IF(MONTH((DATE($B$3,7,1)-(WEEKDAY(DATE($B$3,7,1),$G$3)-1)+19))=7,DAY((DATE($B$3,7,1)-(WEEKDAY(DATE($B$3,7,1),$G$3)-1)+19)),"")</f>
        <v/>
      </c>
      <c r="G27" s="6">
        <f>IF(MONTH((DATE($B$3,7,1)-(WEEKDAY(DATE($B$3,7,1),$G$3)-1)+20))=7,DAY((DATE($B$3,7,1)-(WEEKDAY(DATE($B$3,7,1),$G$3)-1)+20)),"")</f>
        <v/>
      </c>
      <c r="I27" s="6">
        <f>IF(MONTH((DATE($B$3,8,1)-(WEEKDAY(DATE($B$3,8,1),$G$3)-1)+14))=8,DAY((DATE($B$3,8,1)-(WEEKDAY(DATE($B$3,8,1),$G$3)-1)+14)),"")</f>
        <v/>
      </c>
      <c r="J27" s="6">
        <f>IF(MONTH((DATE($B$3,8,1)-(WEEKDAY(DATE($B$3,8,1),$G$3)-1)+15))=8,DAY((DATE($B$3,8,1)-(WEEKDAY(DATE($B$3,8,1),$G$3)-1)+15)),"")</f>
        <v/>
      </c>
      <c r="K27" s="6">
        <f>IF(MONTH((DATE($B$3,8,1)-(WEEKDAY(DATE($B$3,8,1),$G$3)-1)+16))=8,DAY((DATE($B$3,8,1)-(WEEKDAY(DATE($B$3,8,1),$G$3)-1)+16)),"")</f>
        <v/>
      </c>
      <c r="L27" s="6">
        <f>IF(MONTH((DATE($B$3,8,1)-(WEEKDAY(DATE($B$3,8,1),$G$3)-1)+17))=8,DAY((DATE($B$3,8,1)-(WEEKDAY(DATE($B$3,8,1),$G$3)-1)+17)),"")</f>
        <v/>
      </c>
      <c r="M27" s="6">
        <f>IF(MONTH((DATE($B$3,8,1)-(WEEKDAY(DATE($B$3,8,1),$G$3)-1)+18))=8,DAY((DATE($B$3,8,1)-(WEEKDAY(DATE($B$3,8,1),$G$3)-1)+18)),"")</f>
        <v/>
      </c>
      <c r="N27" s="6">
        <f>IF(MONTH((DATE($B$3,8,1)-(WEEKDAY(DATE($B$3,8,1),$G$3)-1)+19))=8,DAY((DATE($B$3,8,1)-(WEEKDAY(DATE($B$3,8,1),$G$3)-1)+19)),"")</f>
        <v/>
      </c>
      <c r="O27" s="6">
        <f>IF(MONTH((DATE($B$3,8,1)-(WEEKDAY(DATE($B$3,8,1),$G$3)-1)+20))=8,DAY((DATE($B$3,8,1)-(WEEKDAY(DATE($B$3,8,1),$G$3)-1)+20)),"")</f>
        <v/>
      </c>
      <c r="Q27" s="6">
        <f>IF(MONTH((DATE($B$3,9,1)-(WEEKDAY(DATE($B$3,9,1),$G$3)-1)+14))=9,DAY((DATE($B$3,9,1)-(WEEKDAY(DATE($B$3,9,1),$G$3)-1)+14)),"")</f>
        <v/>
      </c>
      <c r="R27" s="6">
        <f>IF(MONTH((DATE($B$3,9,1)-(WEEKDAY(DATE($B$3,9,1),$G$3)-1)+15))=9,DAY((DATE($B$3,9,1)-(WEEKDAY(DATE($B$3,9,1),$G$3)-1)+15)),"")</f>
        <v/>
      </c>
      <c r="S27" s="6">
        <f>IF(MONTH((DATE($B$3,9,1)-(WEEKDAY(DATE($B$3,9,1),$G$3)-1)+16))=9,DAY((DATE($B$3,9,1)-(WEEKDAY(DATE($B$3,9,1),$G$3)-1)+16)),"")</f>
        <v/>
      </c>
      <c r="T27" s="6">
        <f>IF(MONTH((DATE($B$3,9,1)-(WEEKDAY(DATE($B$3,9,1),$G$3)-1)+17))=9,DAY((DATE($B$3,9,1)-(WEEKDAY(DATE($B$3,9,1),$G$3)-1)+17)),"")</f>
        <v/>
      </c>
      <c r="U27" s="6">
        <f>IF(MONTH((DATE($B$3,9,1)-(WEEKDAY(DATE($B$3,9,1),$G$3)-1)+18))=9,DAY((DATE($B$3,9,1)-(WEEKDAY(DATE($B$3,9,1),$G$3)-1)+18)),"")</f>
        <v/>
      </c>
      <c r="V27" s="6">
        <f>IF(MONTH((DATE($B$3,9,1)-(WEEKDAY(DATE($B$3,9,1),$G$3)-1)+19))=9,DAY((DATE($B$3,9,1)-(WEEKDAY(DATE($B$3,9,1),$G$3)-1)+19)),"")</f>
        <v/>
      </c>
      <c r="W27" s="6">
        <f>IF(MONTH((DATE($B$3,9,1)-(WEEKDAY(DATE($B$3,9,1),$G$3)-1)+20))=9,DAY((DATE($B$3,9,1)-(WEEKDAY(DATE($B$3,9,1),$G$3)-1)+20)),"")</f>
        <v/>
      </c>
    </row>
    <row r="28">
      <c r="A28" s="6">
        <f>IF(MONTH((DATE($B$3,7,1)-(WEEKDAY(DATE($B$3,7,1),$G$3)-1)+21))=7,DAY((DATE($B$3,7,1)-(WEEKDAY(DATE($B$3,7,1),$G$3)-1)+21)),"")</f>
        <v/>
      </c>
      <c r="B28" s="6">
        <f>IF(MONTH((DATE($B$3,7,1)-(WEEKDAY(DATE($B$3,7,1),$G$3)-1)+22))=7,DAY((DATE($B$3,7,1)-(WEEKDAY(DATE($B$3,7,1),$G$3)-1)+22)),"")</f>
        <v/>
      </c>
      <c r="C28" s="6">
        <f>IF(MONTH((DATE($B$3,7,1)-(WEEKDAY(DATE($B$3,7,1),$G$3)-1)+23))=7,DAY((DATE($B$3,7,1)-(WEEKDAY(DATE($B$3,7,1),$G$3)-1)+23)),"")</f>
        <v/>
      </c>
      <c r="D28" s="6">
        <f>IF(MONTH((DATE($B$3,7,1)-(WEEKDAY(DATE($B$3,7,1),$G$3)-1)+24))=7,DAY((DATE($B$3,7,1)-(WEEKDAY(DATE($B$3,7,1),$G$3)-1)+24)),"")</f>
        <v/>
      </c>
      <c r="E28" s="6">
        <f>IF(MONTH((DATE($B$3,7,1)-(WEEKDAY(DATE($B$3,7,1),$G$3)-1)+25))=7,DAY((DATE($B$3,7,1)-(WEEKDAY(DATE($B$3,7,1),$G$3)-1)+25)),"")</f>
        <v/>
      </c>
      <c r="F28" s="6">
        <f>IF(MONTH((DATE($B$3,7,1)-(WEEKDAY(DATE($B$3,7,1),$G$3)-1)+26))=7,DAY((DATE($B$3,7,1)-(WEEKDAY(DATE($B$3,7,1),$G$3)-1)+26)),"")</f>
        <v/>
      </c>
      <c r="G28" s="6">
        <f>IF(MONTH((DATE($B$3,7,1)-(WEEKDAY(DATE($B$3,7,1),$G$3)-1)+27))=7,DAY((DATE($B$3,7,1)-(WEEKDAY(DATE($B$3,7,1),$G$3)-1)+27)),"")</f>
        <v/>
      </c>
      <c r="I28" s="6">
        <f>IF(MONTH((DATE($B$3,8,1)-(WEEKDAY(DATE($B$3,8,1),$G$3)-1)+21))=8,DAY((DATE($B$3,8,1)-(WEEKDAY(DATE($B$3,8,1),$G$3)-1)+21)),"")</f>
        <v/>
      </c>
      <c r="J28" s="6">
        <f>IF(MONTH((DATE($B$3,8,1)-(WEEKDAY(DATE($B$3,8,1),$G$3)-1)+22))=8,DAY((DATE($B$3,8,1)-(WEEKDAY(DATE($B$3,8,1),$G$3)-1)+22)),"")</f>
        <v/>
      </c>
      <c r="K28" s="6">
        <f>IF(MONTH((DATE($B$3,8,1)-(WEEKDAY(DATE($B$3,8,1),$G$3)-1)+23))=8,DAY((DATE($B$3,8,1)-(WEEKDAY(DATE($B$3,8,1),$G$3)-1)+23)),"")</f>
        <v/>
      </c>
      <c r="L28" s="6">
        <f>IF(MONTH((DATE($B$3,8,1)-(WEEKDAY(DATE($B$3,8,1),$G$3)-1)+24))=8,DAY((DATE($B$3,8,1)-(WEEKDAY(DATE($B$3,8,1),$G$3)-1)+24)),"")</f>
        <v/>
      </c>
      <c r="M28" s="6">
        <f>IF(MONTH((DATE($B$3,8,1)-(WEEKDAY(DATE($B$3,8,1),$G$3)-1)+25))=8,DAY((DATE($B$3,8,1)-(WEEKDAY(DATE($B$3,8,1),$G$3)-1)+25)),"")</f>
        <v/>
      </c>
      <c r="N28" s="6">
        <f>IF(MONTH((DATE($B$3,8,1)-(WEEKDAY(DATE($B$3,8,1),$G$3)-1)+26))=8,DAY((DATE($B$3,8,1)-(WEEKDAY(DATE($B$3,8,1),$G$3)-1)+26)),"")</f>
        <v/>
      </c>
      <c r="O28" s="6">
        <f>IF(MONTH((DATE($B$3,8,1)-(WEEKDAY(DATE($B$3,8,1),$G$3)-1)+27))=8,DAY((DATE($B$3,8,1)-(WEEKDAY(DATE($B$3,8,1),$G$3)-1)+27)),"")</f>
        <v/>
      </c>
      <c r="Q28" s="6">
        <f>IF(MONTH((DATE($B$3,9,1)-(WEEKDAY(DATE($B$3,9,1),$G$3)-1)+21))=9,DAY((DATE($B$3,9,1)-(WEEKDAY(DATE($B$3,9,1),$G$3)-1)+21)),"")</f>
        <v/>
      </c>
      <c r="R28" s="6">
        <f>IF(MONTH((DATE($B$3,9,1)-(WEEKDAY(DATE($B$3,9,1),$G$3)-1)+22))=9,DAY((DATE($B$3,9,1)-(WEEKDAY(DATE($B$3,9,1),$G$3)-1)+22)),"")</f>
        <v/>
      </c>
      <c r="S28" s="6">
        <f>IF(MONTH((DATE($B$3,9,1)-(WEEKDAY(DATE($B$3,9,1),$G$3)-1)+23))=9,DAY((DATE($B$3,9,1)-(WEEKDAY(DATE($B$3,9,1),$G$3)-1)+23)),"")</f>
        <v/>
      </c>
      <c r="T28" s="6">
        <f>IF(MONTH((DATE($B$3,9,1)-(WEEKDAY(DATE($B$3,9,1),$G$3)-1)+24))=9,DAY((DATE($B$3,9,1)-(WEEKDAY(DATE($B$3,9,1),$G$3)-1)+24)),"")</f>
        <v/>
      </c>
      <c r="U28" s="6">
        <f>IF(MONTH((DATE($B$3,9,1)-(WEEKDAY(DATE($B$3,9,1),$G$3)-1)+25))=9,DAY((DATE($B$3,9,1)-(WEEKDAY(DATE($B$3,9,1),$G$3)-1)+25)),"")</f>
        <v/>
      </c>
      <c r="V28" s="6">
        <f>IF(MONTH((DATE($B$3,9,1)-(WEEKDAY(DATE($B$3,9,1),$G$3)-1)+26))=9,DAY((DATE($B$3,9,1)-(WEEKDAY(DATE($B$3,9,1),$G$3)-1)+26)),"")</f>
        <v/>
      </c>
      <c r="W28" s="6">
        <f>IF(MONTH((DATE($B$3,9,1)-(WEEKDAY(DATE($B$3,9,1),$G$3)-1)+27))=9,DAY((DATE($B$3,9,1)-(WEEKDAY(DATE($B$3,9,1),$G$3)-1)+27)),"")</f>
        <v/>
      </c>
    </row>
    <row r="29">
      <c r="A29" s="6">
        <f>IF(MONTH((DATE($B$3,7,1)-(WEEKDAY(DATE($B$3,7,1),$G$3)-1)+28))=7,DAY((DATE($B$3,7,1)-(WEEKDAY(DATE($B$3,7,1),$G$3)-1)+28)),"")</f>
        <v/>
      </c>
      <c r="B29" s="6">
        <f>IF(MONTH((DATE($B$3,7,1)-(WEEKDAY(DATE($B$3,7,1),$G$3)-1)+29))=7,DAY((DATE($B$3,7,1)-(WEEKDAY(DATE($B$3,7,1),$G$3)-1)+29)),"")</f>
        <v/>
      </c>
      <c r="C29" s="6">
        <f>IF(MONTH((DATE($B$3,7,1)-(WEEKDAY(DATE($B$3,7,1),$G$3)-1)+30))=7,DAY((DATE($B$3,7,1)-(WEEKDAY(DATE($B$3,7,1),$G$3)-1)+30)),"")</f>
        <v/>
      </c>
      <c r="D29" s="6">
        <f>IF(MONTH((DATE($B$3,7,1)-(WEEKDAY(DATE($B$3,7,1),$G$3)-1)+31))=7,DAY((DATE($B$3,7,1)-(WEEKDAY(DATE($B$3,7,1),$G$3)-1)+31)),"")</f>
        <v/>
      </c>
      <c r="E29" s="6">
        <f>IF(MONTH((DATE($B$3,7,1)-(WEEKDAY(DATE($B$3,7,1),$G$3)-1)+32))=7,DAY((DATE($B$3,7,1)-(WEEKDAY(DATE($B$3,7,1),$G$3)-1)+32)),"")</f>
        <v/>
      </c>
      <c r="F29" s="6">
        <f>IF(MONTH((DATE($B$3,7,1)-(WEEKDAY(DATE($B$3,7,1),$G$3)-1)+33))=7,DAY((DATE($B$3,7,1)-(WEEKDAY(DATE($B$3,7,1),$G$3)-1)+33)),"")</f>
        <v/>
      </c>
      <c r="G29" s="6">
        <f>IF(MONTH((DATE($B$3,7,1)-(WEEKDAY(DATE($B$3,7,1),$G$3)-1)+34))=7,DAY((DATE($B$3,7,1)-(WEEKDAY(DATE($B$3,7,1),$G$3)-1)+34)),"")</f>
        <v/>
      </c>
      <c r="I29" s="6">
        <f>IF(MONTH((DATE($B$3,8,1)-(WEEKDAY(DATE($B$3,8,1),$G$3)-1)+28))=8,DAY((DATE($B$3,8,1)-(WEEKDAY(DATE($B$3,8,1),$G$3)-1)+28)),"")</f>
        <v/>
      </c>
      <c r="J29" s="6">
        <f>IF(MONTH((DATE($B$3,8,1)-(WEEKDAY(DATE($B$3,8,1),$G$3)-1)+29))=8,DAY((DATE($B$3,8,1)-(WEEKDAY(DATE($B$3,8,1),$G$3)-1)+29)),"")</f>
        <v/>
      </c>
      <c r="K29" s="6">
        <f>IF(MONTH((DATE($B$3,8,1)-(WEEKDAY(DATE($B$3,8,1),$G$3)-1)+30))=8,DAY((DATE($B$3,8,1)-(WEEKDAY(DATE($B$3,8,1),$G$3)-1)+30)),"")</f>
        <v/>
      </c>
      <c r="L29" s="6">
        <f>IF(MONTH((DATE($B$3,8,1)-(WEEKDAY(DATE($B$3,8,1),$G$3)-1)+31))=8,DAY((DATE($B$3,8,1)-(WEEKDAY(DATE($B$3,8,1),$G$3)-1)+31)),"")</f>
        <v/>
      </c>
      <c r="M29" s="6">
        <f>IF(MONTH((DATE($B$3,8,1)-(WEEKDAY(DATE($B$3,8,1),$G$3)-1)+32))=8,DAY((DATE($B$3,8,1)-(WEEKDAY(DATE($B$3,8,1),$G$3)-1)+32)),"")</f>
        <v/>
      </c>
      <c r="N29" s="6">
        <f>IF(MONTH((DATE($B$3,8,1)-(WEEKDAY(DATE($B$3,8,1),$G$3)-1)+33))=8,DAY((DATE($B$3,8,1)-(WEEKDAY(DATE($B$3,8,1),$G$3)-1)+33)),"")</f>
        <v/>
      </c>
      <c r="O29" s="6">
        <f>IF(MONTH((DATE($B$3,8,1)-(WEEKDAY(DATE($B$3,8,1),$G$3)-1)+34))=8,DAY((DATE($B$3,8,1)-(WEEKDAY(DATE($B$3,8,1),$G$3)-1)+34)),"")</f>
        <v/>
      </c>
      <c r="Q29" s="6">
        <f>IF(MONTH((DATE($B$3,9,1)-(WEEKDAY(DATE($B$3,9,1),$G$3)-1)+28))=9,DAY((DATE($B$3,9,1)-(WEEKDAY(DATE($B$3,9,1),$G$3)-1)+28)),"")</f>
        <v/>
      </c>
      <c r="R29" s="6">
        <f>IF(MONTH((DATE($B$3,9,1)-(WEEKDAY(DATE($B$3,9,1),$G$3)-1)+29))=9,DAY((DATE($B$3,9,1)-(WEEKDAY(DATE($B$3,9,1),$G$3)-1)+29)),"")</f>
        <v/>
      </c>
      <c r="S29" s="6">
        <f>IF(MONTH((DATE($B$3,9,1)-(WEEKDAY(DATE($B$3,9,1),$G$3)-1)+30))=9,DAY((DATE($B$3,9,1)-(WEEKDAY(DATE($B$3,9,1),$G$3)-1)+30)),"")</f>
        <v/>
      </c>
      <c r="T29" s="6">
        <f>IF(MONTH((DATE($B$3,9,1)-(WEEKDAY(DATE($B$3,9,1),$G$3)-1)+31))=9,DAY((DATE($B$3,9,1)-(WEEKDAY(DATE($B$3,9,1),$G$3)-1)+31)),"")</f>
        <v/>
      </c>
      <c r="U29" s="6">
        <f>IF(MONTH((DATE($B$3,9,1)-(WEEKDAY(DATE($B$3,9,1),$G$3)-1)+32))=9,DAY((DATE($B$3,9,1)-(WEEKDAY(DATE($B$3,9,1),$G$3)-1)+32)),"")</f>
        <v/>
      </c>
      <c r="V29" s="6">
        <f>IF(MONTH((DATE($B$3,9,1)-(WEEKDAY(DATE($B$3,9,1),$G$3)-1)+33))=9,DAY((DATE($B$3,9,1)-(WEEKDAY(DATE($B$3,9,1),$G$3)-1)+33)),"")</f>
        <v/>
      </c>
      <c r="W29" s="6">
        <f>IF(MONTH((DATE($B$3,9,1)-(WEEKDAY(DATE($B$3,9,1),$G$3)-1)+34))=9,DAY((DATE($B$3,9,1)-(WEEKDAY(DATE($B$3,9,1),$G$3)-1)+34)),"")</f>
        <v/>
      </c>
    </row>
    <row r="30">
      <c r="A30" s="6">
        <f>IF(MONTH((DATE($B$3,7,1)-(WEEKDAY(DATE($B$3,7,1),$G$3)-1)+35))=7,DAY((DATE($B$3,7,1)-(WEEKDAY(DATE($B$3,7,1),$G$3)-1)+35)),"")</f>
        <v/>
      </c>
      <c r="B30" s="6">
        <f>IF(MONTH((DATE($B$3,7,1)-(WEEKDAY(DATE($B$3,7,1),$G$3)-1)+36))=7,DAY((DATE($B$3,7,1)-(WEEKDAY(DATE($B$3,7,1),$G$3)-1)+36)),"")</f>
        <v/>
      </c>
      <c r="C30" s="6">
        <f>IF(MONTH((DATE($B$3,7,1)-(WEEKDAY(DATE($B$3,7,1),$G$3)-1)+37))=7,DAY((DATE($B$3,7,1)-(WEEKDAY(DATE($B$3,7,1),$G$3)-1)+37)),"")</f>
        <v/>
      </c>
      <c r="D30" s="6">
        <f>IF(MONTH((DATE($B$3,7,1)-(WEEKDAY(DATE($B$3,7,1),$G$3)-1)+38))=7,DAY((DATE($B$3,7,1)-(WEEKDAY(DATE($B$3,7,1),$G$3)-1)+38)),"")</f>
        <v/>
      </c>
      <c r="E30" s="6">
        <f>IF(MONTH((DATE($B$3,7,1)-(WEEKDAY(DATE($B$3,7,1),$G$3)-1)+39))=7,DAY((DATE($B$3,7,1)-(WEEKDAY(DATE($B$3,7,1),$G$3)-1)+39)),"")</f>
        <v/>
      </c>
      <c r="F30" s="6">
        <f>IF(MONTH((DATE($B$3,7,1)-(WEEKDAY(DATE($B$3,7,1),$G$3)-1)+40))=7,DAY((DATE($B$3,7,1)-(WEEKDAY(DATE($B$3,7,1),$G$3)-1)+40)),"")</f>
        <v/>
      </c>
      <c r="G30" s="6">
        <f>IF(MONTH((DATE($B$3,7,1)-(WEEKDAY(DATE($B$3,7,1),$G$3)-1)+41))=7,DAY((DATE($B$3,7,1)-(WEEKDAY(DATE($B$3,7,1),$G$3)-1)+41)),"")</f>
        <v/>
      </c>
      <c r="I30" s="6">
        <f>IF(MONTH((DATE($B$3,8,1)-(WEEKDAY(DATE($B$3,8,1),$G$3)-1)+35))=8,DAY((DATE($B$3,8,1)-(WEEKDAY(DATE($B$3,8,1),$G$3)-1)+35)),"")</f>
        <v/>
      </c>
      <c r="J30" s="6">
        <f>IF(MONTH((DATE($B$3,8,1)-(WEEKDAY(DATE($B$3,8,1),$G$3)-1)+36))=8,DAY((DATE($B$3,8,1)-(WEEKDAY(DATE($B$3,8,1),$G$3)-1)+36)),"")</f>
        <v/>
      </c>
      <c r="K30" s="6">
        <f>IF(MONTH((DATE($B$3,8,1)-(WEEKDAY(DATE($B$3,8,1),$G$3)-1)+37))=8,DAY((DATE($B$3,8,1)-(WEEKDAY(DATE($B$3,8,1),$G$3)-1)+37)),"")</f>
        <v/>
      </c>
      <c r="L30" s="6">
        <f>IF(MONTH((DATE($B$3,8,1)-(WEEKDAY(DATE($B$3,8,1),$G$3)-1)+38))=8,DAY((DATE($B$3,8,1)-(WEEKDAY(DATE($B$3,8,1),$G$3)-1)+38)),"")</f>
        <v/>
      </c>
      <c r="M30" s="6">
        <f>IF(MONTH((DATE($B$3,8,1)-(WEEKDAY(DATE($B$3,8,1),$G$3)-1)+39))=8,DAY((DATE($B$3,8,1)-(WEEKDAY(DATE($B$3,8,1),$G$3)-1)+39)),"")</f>
        <v/>
      </c>
      <c r="N30" s="6">
        <f>IF(MONTH((DATE($B$3,8,1)-(WEEKDAY(DATE($B$3,8,1),$G$3)-1)+40))=8,DAY((DATE($B$3,8,1)-(WEEKDAY(DATE($B$3,8,1),$G$3)-1)+40)),"")</f>
        <v/>
      </c>
      <c r="O30" s="6">
        <f>IF(MONTH((DATE($B$3,8,1)-(WEEKDAY(DATE($B$3,8,1),$G$3)-1)+41))=8,DAY((DATE($B$3,8,1)-(WEEKDAY(DATE($B$3,8,1),$G$3)-1)+41)),"")</f>
        <v/>
      </c>
      <c r="Q30" s="6">
        <f>IF(MONTH((DATE($B$3,9,1)-(WEEKDAY(DATE($B$3,9,1),$G$3)-1)+35))=9,DAY((DATE($B$3,9,1)-(WEEKDAY(DATE($B$3,9,1),$G$3)-1)+35)),"")</f>
        <v/>
      </c>
      <c r="R30" s="6">
        <f>IF(MONTH((DATE($B$3,9,1)-(WEEKDAY(DATE($B$3,9,1),$G$3)-1)+36))=9,DAY((DATE($B$3,9,1)-(WEEKDAY(DATE($B$3,9,1),$G$3)-1)+36)),"")</f>
        <v/>
      </c>
      <c r="S30" s="6">
        <f>IF(MONTH((DATE($B$3,9,1)-(WEEKDAY(DATE($B$3,9,1),$G$3)-1)+37))=9,DAY((DATE($B$3,9,1)-(WEEKDAY(DATE($B$3,9,1),$G$3)-1)+37)),"")</f>
        <v/>
      </c>
      <c r="T30" s="6">
        <f>IF(MONTH((DATE($B$3,9,1)-(WEEKDAY(DATE($B$3,9,1),$G$3)-1)+38))=9,DAY((DATE($B$3,9,1)-(WEEKDAY(DATE($B$3,9,1),$G$3)-1)+38)),"")</f>
        <v/>
      </c>
      <c r="U30" s="6">
        <f>IF(MONTH((DATE($B$3,9,1)-(WEEKDAY(DATE($B$3,9,1),$G$3)-1)+39))=9,DAY((DATE($B$3,9,1)-(WEEKDAY(DATE($B$3,9,1),$G$3)-1)+39)),"")</f>
        <v/>
      </c>
      <c r="V30" s="6">
        <f>IF(MONTH((DATE($B$3,9,1)-(WEEKDAY(DATE($B$3,9,1),$G$3)-1)+40))=9,DAY((DATE($B$3,9,1)-(WEEKDAY(DATE($B$3,9,1),$G$3)-1)+40)),"")</f>
        <v/>
      </c>
      <c r="W30" s="6">
        <f>IF(MONTH((DATE($B$3,9,1)-(WEEKDAY(DATE($B$3,9,1),$G$3)-1)+41))=9,DAY((DATE($B$3,9,1)-(WEEKDAY(DATE($B$3,9,1),$G$3)-1)+41)),"")</f>
        <v/>
      </c>
    </row>
    <row r="32">
      <c r="A32" s="4">
        <f>TEXT(DATE($B$3,10,1),"mmmm yyyy")</f>
        <v/>
      </c>
      <c r="I32" s="4">
        <f>TEXT(DATE($B$3,11,1),"mmmm yyyy")</f>
        <v/>
      </c>
      <c r="Q32" s="4">
        <f>TEXT(DATE($B$3,12,1),"mmmm yyyy")</f>
        <v/>
      </c>
    </row>
    <row r="33">
      <c r="A33" s="5">
        <f>CHOOSE(MOD(0+$G$3-1,7)+1,"Sun","Mon","Tue","Wed","Thu","Fri","Sat")</f>
        <v/>
      </c>
      <c r="B33" s="5">
        <f>CHOOSE(MOD(1+$G$3-1,7)+1,"Sun","Mon","Tue","Wed","Thu","Fri","Sat")</f>
        <v/>
      </c>
      <c r="C33" s="5">
        <f>CHOOSE(MOD(2+$G$3-1,7)+1,"Sun","Mon","Tue","Wed","Thu","Fri","Sat")</f>
        <v/>
      </c>
      <c r="D33" s="5">
        <f>CHOOSE(MOD(3+$G$3-1,7)+1,"Sun","Mon","Tue","Wed","Thu","Fri","Sat")</f>
        <v/>
      </c>
      <c r="E33" s="5">
        <f>CHOOSE(MOD(4+$G$3-1,7)+1,"Sun","Mon","Tue","Wed","Thu","Fri","Sat")</f>
        <v/>
      </c>
      <c r="F33" s="5">
        <f>CHOOSE(MOD(5+$G$3-1,7)+1,"Sun","Mon","Tue","Wed","Thu","Fri","Sat")</f>
        <v/>
      </c>
      <c r="G33" s="5">
        <f>CHOOSE(MOD(6+$G$3-1,7)+1,"Sun","Mon","Tue","Wed","Thu","Fri","Sat")</f>
        <v/>
      </c>
      <c r="I33" s="5">
        <f>CHOOSE(MOD(0+$G$3-1,7)+1,"Sun","Mon","Tue","Wed","Thu","Fri","Sat")</f>
        <v/>
      </c>
      <c r="J33" s="5">
        <f>CHOOSE(MOD(1+$G$3-1,7)+1,"Sun","Mon","Tue","Wed","Thu","Fri","Sat")</f>
        <v/>
      </c>
      <c r="K33" s="5">
        <f>CHOOSE(MOD(2+$G$3-1,7)+1,"Sun","Mon","Tue","Wed","Thu","Fri","Sat")</f>
        <v/>
      </c>
      <c r="L33" s="5">
        <f>CHOOSE(MOD(3+$G$3-1,7)+1,"Sun","Mon","Tue","Wed","Thu","Fri","Sat")</f>
        <v/>
      </c>
      <c r="M33" s="5">
        <f>CHOOSE(MOD(4+$G$3-1,7)+1,"Sun","Mon","Tue","Wed","Thu","Fri","Sat")</f>
        <v/>
      </c>
      <c r="N33" s="5">
        <f>CHOOSE(MOD(5+$G$3-1,7)+1,"Sun","Mon","Tue","Wed","Thu","Fri","Sat")</f>
        <v/>
      </c>
      <c r="O33" s="5">
        <f>CHOOSE(MOD(6+$G$3-1,7)+1,"Sun","Mon","Tue","Wed","Thu","Fri","Sat")</f>
        <v/>
      </c>
      <c r="Q33" s="5">
        <f>CHOOSE(MOD(0+$G$3-1,7)+1,"Sun","Mon","Tue","Wed","Thu","Fri","Sat")</f>
        <v/>
      </c>
      <c r="R33" s="5">
        <f>CHOOSE(MOD(1+$G$3-1,7)+1,"Sun","Mon","Tue","Wed","Thu","Fri","Sat")</f>
        <v/>
      </c>
      <c r="S33" s="5">
        <f>CHOOSE(MOD(2+$G$3-1,7)+1,"Sun","Mon","Tue","Wed","Thu","Fri","Sat")</f>
        <v/>
      </c>
      <c r="T33" s="5">
        <f>CHOOSE(MOD(3+$G$3-1,7)+1,"Sun","Mon","Tue","Wed","Thu","Fri","Sat")</f>
        <v/>
      </c>
      <c r="U33" s="5">
        <f>CHOOSE(MOD(4+$G$3-1,7)+1,"Sun","Mon","Tue","Wed","Thu","Fri","Sat")</f>
        <v/>
      </c>
      <c r="V33" s="5">
        <f>CHOOSE(MOD(5+$G$3-1,7)+1,"Sun","Mon","Tue","Wed","Thu","Fri","Sat")</f>
        <v/>
      </c>
      <c r="W33" s="5">
        <f>CHOOSE(MOD(6+$G$3-1,7)+1,"Sun","Mon","Tue","Wed","Thu","Fri","Sat")</f>
        <v/>
      </c>
    </row>
    <row r="34">
      <c r="A34" s="6">
        <f>IF(MONTH((DATE($B$3,10,1)-(WEEKDAY(DATE($B$3,10,1),$G$3)-1)+0))=10,DAY((DATE($B$3,10,1)-(WEEKDAY(DATE($B$3,10,1),$G$3)-1)+0)),"")</f>
        <v/>
      </c>
      <c r="B34" s="6">
        <f>IF(MONTH((DATE($B$3,10,1)-(WEEKDAY(DATE($B$3,10,1),$G$3)-1)+1))=10,DAY((DATE($B$3,10,1)-(WEEKDAY(DATE($B$3,10,1),$G$3)-1)+1)),"")</f>
        <v/>
      </c>
      <c r="C34" s="6">
        <f>IF(MONTH((DATE($B$3,10,1)-(WEEKDAY(DATE($B$3,10,1),$G$3)-1)+2))=10,DAY((DATE($B$3,10,1)-(WEEKDAY(DATE($B$3,10,1),$G$3)-1)+2)),"")</f>
        <v/>
      </c>
      <c r="D34" s="6">
        <f>IF(MONTH((DATE($B$3,10,1)-(WEEKDAY(DATE($B$3,10,1),$G$3)-1)+3))=10,DAY((DATE($B$3,10,1)-(WEEKDAY(DATE($B$3,10,1),$G$3)-1)+3)),"")</f>
        <v/>
      </c>
      <c r="E34" s="6">
        <f>IF(MONTH((DATE($B$3,10,1)-(WEEKDAY(DATE($B$3,10,1),$G$3)-1)+4))=10,DAY((DATE($B$3,10,1)-(WEEKDAY(DATE($B$3,10,1),$G$3)-1)+4)),"")</f>
        <v/>
      </c>
      <c r="F34" s="6">
        <f>IF(MONTH((DATE($B$3,10,1)-(WEEKDAY(DATE($B$3,10,1),$G$3)-1)+5))=10,DAY((DATE($B$3,10,1)-(WEEKDAY(DATE($B$3,10,1),$G$3)-1)+5)),"")</f>
        <v/>
      </c>
      <c r="G34" s="6">
        <f>IF(MONTH((DATE($B$3,10,1)-(WEEKDAY(DATE($B$3,10,1),$G$3)-1)+6))=10,DAY((DATE($B$3,10,1)-(WEEKDAY(DATE($B$3,10,1),$G$3)-1)+6)),"")</f>
        <v/>
      </c>
      <c r="I34" s="6">
        <f>IF(MONTH((DATE($B$3,11,1)-(WEEKDAY(DATE($B$3,11,1),$G$3)-1)+0))=11,DAY((DATE($B$3,11,1)-(WEEKDAY(DATE($B$3,11,1),$G$3)-1)+0)),"")</f>
        <v/>
      </c>
      <c r="J34" s="6">
        <f>IF(MONTH((DATE($B$3,11,1)-(WEEKDAY(DATE($B$3,11,1),$G$3)-1)+1))=11,DAY((DATE($B$3,11,1)-(WEEKDAY(DATE($B$3,11,1),$G$3)-1)+1)),"")</f>
        <v/>
      </c>
      <c r="K34" s="6">
        <f>IF(MONTH((DATE($B$3,11,1)-(WEEKDAY(DATE($B$3,11,1),$G$3)-1)+2))=11,DAY((DATE($B$3,11,1)-(WEEKDAY(DATE($B$3,11,1),$G$3)-1)+2)),"")</f>
        <v/>
      </c>
      <c r="L34" s="6">
        <f>IF(MONTH((DATE($B$3,11,1)-(WEEKDAY(DATE($B$3,11,1),$G$3)-1)+3))=11,DAY((DATE($B$3,11,1)-(WEEKDAY(DATE($B$3,11,1),$G$3)-1)+3)),"")</f>
        <v/>
      </c>
      <c r="M34" s="6">
        <f>IF(MONTH((DATE($B$3,11,1)-(WEEKDAY(DATE($B$3,11,1),$G$3)-1)+4))=11,DAY((DATE($B$3,11,1)-(WEEKDAY(DATE($B$3,11,1),$G$3)-1)+4)),"")</f>
        <v/>
      </c>
      <c r="N34" s="6">
        <f>IF(MONTH((DATE($B$3,11,1)-(WEEKDAY(DATE($B$3,11,1),$G$3)-1)+5))=11,DAY((DATE($B$3,11,1)-(WEEKDAY(DATE($B$3,11,1),$G$3)-1)+5)),"")</f>
        <v/>
      </c>
      <c r="O34" s="6">
        <f>IF(MONTH((DATE($B$3,11,1)-(WEEKDAY(DATE($B$3,11,1),$G$3)-1)+6))=11,DAY((DATE($B$3,11,1)-(WEEKDAY(DATE($B$3,11,1),$G$3)-1)+6)),"")</f>
        <v/>
      </c>
      <c r="Q34" s="6">
        <f>IF(MONTH((DATE($B$3,12,1)-(WEEKDAY(DATE($B$3,12,1),$G$3)-1)+0))=12,DAY((DATE($B$3,12,1)-(WEEKDAY(DATE($B$3,12,1),$G$3)-1)+0)),"")</f>
        <v/>
      </c>
      <c r="R34" s="6">
        <f>IF(MONTH((DATE($B$3,12,1)-(WEEKDAY(DATE($B$3,12,1),$G$3)-1)+1))=12,DAY((DATE($B$3,12,1)-(WEEKDAY(DATE($B$3,12,1),$G$3)-1)+1)),"")</f>
        <v/>
      </c>
      <c r="S34" s="6">
        <f>IF(MONTH((DATE($B$3,12,1)-(WEEKDAY(DATE($B$3,12,1),$G$3)-1)+2))=12,DAY((DATE($B$3,12,1)-(WEEKDAY(DATE($B$3,12,1),$G$3)-1)+2)),"")</f>
        <v/>
      </c>
      <c r="T34" s="6">
        <f>IF(MONTH((DATE($B$3,12,1)-(WEEKDAY(DATE($B$3,12,1),$G$3)-1)+3))=12,DAY((DATE($B$3,12,1)-(WEEKDAY(DATE($B$3,12,1),$G$3)-1)+3)),"")</f>
        <v/>
      </c>
      <c r="U34" s="6">
        <f>IF(MONTH((DATE($B$3,12,1)-(WEEKDAY(DATE($B$3,12,1),$G$3)-1)+4))=12,DAY((DATE($B$3,12,1)-(WEEKDAY(DATE($B$3,12,1),$G$3)-1)+4)),"")</f>
        <v/>
      </c>
      <c r="V34" s="6">
        <f>IF(MONTH((DATE($B$3,12,1)-(WEEKDAY(DATE($B$3,12,1),$G$3)-1)+5))=12,DAY((DATE($B$3,12,1)-(WEEKDAY(DATE($B$3,12,1),$G$3)-1)+5)),"")</f>
        <v/>
      </c>
      <c r="W34" s="6">
        <f>IF(MONTH((DATE($B$3,12,1)-(WEEKDAY(DATE($B$3,12,1),$G$3)-1)+6))=12,DAY((DATE($B$3,12,1)-(WEEKDAY(DATE($B$3,12,1),$G$3)-1)+6)),"")</f>
        <v/>
      </c>
    </row>
    <row r="35">
      <c r="A35" s="6">
        <f>IF(MONTH((DATE($B$3,10,1)-(WEEKDAY(DATE($B$3,10,1),$G$3)-1)+7))=10,DAY((DATE($B$3,10,1)-(WEEKDAY(DATE($B$3,10,1),$G$3)-1)+7)),"")</f>
        <v/>
      </c>
      <c r="B35" s="6">
        <f>IF(MONTH((DATE($B$3,10,1)-(WEEKDAY(DATE($B$3,10,1),$G$3)-1)+8))=10,DAY((DATE($B$3,10,1)-(WEEKDAY(DATE($B$3,10,1),$G$3)-1)+8)),"")</f>
        <v/>
      </c>
      <c r="C35" s="6">
        <f>IF(MONTH((DATE($B$3,10,1)-(WEEKDAY(DATE($B$3,10,1),$G$3)-1)+9))=10,DAY((DATE($B$3,10,1)-(WEEKDAY(DATE($B$3,10,1),$G$3)-1)+9)),"")</f>
        <v/>
      </c>
      <c r="D35" s="6">
        <f>IF(MONTH((DATE($B$3,10,1)-(WEEKDAY(DATE($B$3,10,1),$G$3)-1)+10))=10,DAY((DATE($B$3,10,1)-(WEEKDAY(DATE($B$3,10,1),$G$3)-1)+10)),"")</f>
        <v/>
      </c>
      <c r="E35" s="6">
        <f>IF(MONTH((DATE($B$3,10,1)-(WEEKDAY(DATE($B$3,10,1),$G$3)-1)+11))=10,DAY((DATE($B$3,10,1)-(WEEKDAY(DATE($B$3,10,1),$G$3)-1)+11)),"")</f>
        <v/>
      </c>
      <c r="F35" s="6">
        <f>IF(MONTH((DATE($B$3,10,1)-(WEEKDAY(DATE($B$3,10,1),$G$3)-1)+12))=10,DAY((DATE($B$3,10,1)-(WEEKDAY(DATE($B$3,10,1),$G$3)-1)+12)),"")</f>
        <v/>
      </c>
      <c r="G35" s="6">
        <f>IF(MONTH((DATE($B$3,10,1)-(WEEKDAY(DATE($B$3,10,1),$G$3)-1)+13))=10,DAY((DATE($B$3,10,1)-(WEEKDAY(DATE($B$3,10,1),$G$3)-1)+13)),"")</f>
        <v/>
      </c>
      <c r="I35" s="6">
        <f>IF(MONTH((DATE($B$3,11,1)-(WEEKDAY(DATE($B$3,11,1),$G$3)-1)+7))=11,DAY((DATE($B$3,11,1)-(WEEKDAY(DATE($B$3,11,1),$G$3)-1)+7)),"")</f>
        <v/>
      </c>
      <c r="J35" s="6">
        <f>IF(MONTH((DATE($B$3,11,1)-(WEEKDAY(DATE($B$3,11,1),$G$3)-1)+8))=11,DAY((DATE($B$3,11,1)-(WEEKDAY(DATE($B$3,11,1),$G$3)-1)+8)),"")</f>
        <v/>
      </c>
      <c r="K35" s="6">
        <f>IF(MONTH((DATE($B$3,11,1)-(WEEKDAY(DATE($B$3,11,1),$G$3)-1)+9))=11,DAY((DATE($B$3,11,1)-(WEEKDAY(DATE($B$3,11,1),$G$3)-1)+9)),"")</f>
        <v/>
      </c>
      <c r="L35" s="6">
        <f>IF(MONTH((DATE($B$3,11,1)-(WEEKDAY(DATE($B$3,11,1),$G$3)-1)+10))=11,DAY((DATE($B$3,11,1)-(WEEKDAY(DATE($B$3,11,1),$G$3)-1)+10)),"")</f>
        <v/>
      </c>
      <c r="M35" s="6">
        <f>IF(MONTH((DATE($B$3,11,1)-(WEEKDAY(DATE($B$3,11,1),$G$3)-1)+11))=11,DAY((DATE($B$3,11,1)-(WEEKDAY(DATE($B$3,11,1),$G$3)-1)+11)),"")</f>
        <v/>
      </c>
      <c r="N35" s="6">
        <f>IF(MONTH((DATE($B$3,11,1)-(WEEKDAY(DATE($B$3,11,1),$G$3)-1)+12))=11,DAY((DATE($B$3,11,1)-(WEEKDAY(DATE($B$3,11,1),$G$3)-1)+12)),"")</f>
        <v/>
      </c>
      <c r="O35" s="6">
        <f>IF(MONTH((DATE($B$3,11,1)-(WEEKDAY(DATE($B$3,11,1),$G$3)-1)+13))=11,DAY((DATE($B$3,11,1)-(WEEKDAY(DATE($B$3,11,1),$G$3)-1)+13)),"")</f>
        <v/>
      </c>
      <c r="Q35" s="6">
        <f>IF(MONTH((DATE($B$3,12,1)-(WEEKDAY(DATE($B$3,12,1),$G$3)-1)+7))=12,DAY((DATE($B$3,12,1)-(WEEKDAY(DATE($B$3,12,1),$G$3)-1)+7)),"")</f>
        <v/>
      </c>
      <c r="R35" s="6">
        <f>IF(MONTH((DATE($B$3,12,1)-(WEEKDAY(DATE($B$3,12,1),$G$3)-1)+8))=12,DAY((DATE($B$3,12,1)-(WEEKDAY(DATE($B$3,12,1),$G$3)-1)+8)),"")</f>
        <v/>
      </c>
      <c r="S35" s="6">
        <f>IF(MONTH((DATE($B$3,12,1)-(WEEKDAY(DATE($B$3,12,1),$G$3)-1)+9))=12,DAY((DATE($B$3,12,1)-(WEEKDAY(DATE($B$3,12,1),$G$3)-1)+9)),"")</f>
        <v/>
      </c>
      <c r="T35" s="6">
        <f>IF(MONTH((DATE($B$3,12,1)-(WEEKDAY(DATE($B$3,12,1),$G$3)-1)+10))=12,DAY((DATE($B$3,12,1)-(WEEKDAY(DATE($B$3,12,1),$G$3)-1)+10)),"")</f>
        <v/>
      </c>
      <c r="U35" s="6">
        <f>IF(MONTH((DATE($B$3,12,1)-(WEEKDAY(DATE($B$3,12,1),$G$3)-1)+11))=12,DAY((DATE($B$3,12,1)-(WEEKDAY(DATE($B$3,12,1),$G$3)-1)+11)),"")</f>
        <v/>
      </c>
      <c r="V35" s="6">
        <f>IF(MONTH((DATE($B$3,12,1)-(WEEKDAY(DATE($B$3,12,1),$G$3)-1)+12))=12,DAY((DATE($B$3,12,1)-(WEEKDAY(DATE($B$3,12,1),$G$3)-1)+12)),"")</f>
        <v/>
      </c>
      <c r="W35" s="6">
        <f>IF(MONTH((DATE($B$3,12,1)-(WEEKDAY(DATE($B$3,12,1),$G$3)-1)+13))=12,DAY((DATE($B$3,12,1)-(WEEKDAY(DATE($B$3,12,1),$G$3)-1)+13)),"")</f>
        <v/>
      </c>
    </row>
    <row r="36">
      <c r="A36" s="6">
        <f>IF(MONTH((DATE($B$3,10,1)-(WEEKDAY(DATE($B$3,10,1),$G$3)-1)+14))=10,DAY((DATE($B$3,10,1)-(WEEKDAY(DATE($B$3,10,1),$G$3)-1)+14)),"")</f>
        <v/>
      </c>
      <c r="B36" s="6">
        <f>IF(MONTH((DATE($B$3,10,1)-(WEEKDAY(DATE($B$3,10,1),$G$3)-1)+15))=10,DAY((DATE($B$3,10,1)-(WEEKDAY(DATE($B$3,10,1),$G$3)-1)+15)),"")</f>
        <v/>
      </c>
      <c r="C36" s="6">
        <f>IF(MONTH((DATE($B$3,10,1)-(WEEKDAY(DATE($B$3,10,1),$G$3)-1)+16))=10,DAY((DATE($B$3,10,1)-(WEEKDAY(DATE($B$3,10,1),$G$3)-1)+16)),"")</f>
        <v/>
      </c>
      <c r="D36" s="6">
        <f>IF(MONTH((DATE($B$3,10,1)-(WEEKDAY(DATE($B$3,10,1),$G$3)-1)+17))=10,DAY((DATE($B$3,10,1)-(WEEKDAY(DATE($B$3,10,1),$G$3)-1)+17)),"")</f>
        <v/>
      </c>
      <c r="E36" s="6">
        <f>IF(MONTH((DATE($B$3,10,1)-(WEEKDAY(DATE($B$3,10,1),$G$3)-1)+18))=10,DAY((DATE($B$3,10,1)-(WEEKDAY(DATE($B$3,10,1),$G$3)-1)+18)),"")</f>
        <v/>
      </c>
      <c r="F36" s="6">
        <f>IF(MONTH((DATE($B$3,10,1)-(WEEKDAY(DATE($B$3,10,1),$G$3)-1)+19))=10,DAY((DATE($B$3,10,1)-(WEEKDAY(DATE($B$3,10,1),$G$3)-1)+19)),"")</f>
        <v/>
      </c>
      <c r="G36" s="6">
        <f>IF(MONTH((DATE($B$3,10,1)-(WEEKDAY(DATE($B$3,10,1),$G$3)-1)+20))=10,DAY((DATE($B$3,10,1)-(WEEKDAY(DATE($B$3,10,1),$G$3)-1)+20)),"")</f>
        <v/>
      </c>
      <c r="I36" s="6">
        <f>IF(MONTH((DATE($B$3,11,1)-(WEEKDAY(DATE($B$3,11,1),$G$3)-1)+14))=11,DAY((DATE($B$3,11,1)-(WEEKDAY(DATE($B$3,11,1),$G$3)-1)+14)),"")</f>
        <v/>
      </c>
      <c r="J36" s="6">
        <f>IF(MONTH((DATE($B$3,11,1)-(WEEKDAY(DATE($B$3,11,1),$G$3)-1)+15))=11,DAY((DATE($B$3,11,1)-(WEEKDAY(DATE($B$3,11,1),$G$3)-1)+15)),"")</f>
        <v/>
      </c>
      <c r="K36" s="6">
        <f>IF(MONTH((DATE($B$3,11,1)-(WEEKDAY(DATE($B$3,11,1),$G$3)-1)+16))=11,DAY((DATE($B$3,11,1)-(WEEKDAY(DATE($B$3,11,1),$G$3)-1)+16)),"")</f>
        <v/>
      </c>
      <c r="L36" s="6">
        <f>IF(MONTH((DATE($B$3,11,1)-(WEEKDAY(DATE($B$3,11,1),$G$3)-1)+17))=11,DAY((DATE($B$3,11,1)-(WEEKDAY(DATE($B$3,11,1),$G$3)-1)+17)),"")</f>
        <v/>
      </c>
      <c r="M36" s="6">
        <f>IF(MONTH((DATE($B$3,11,1)-(WEEKDAY(DATE($B$3,11,1),$G$3)-1)+18))=11,DAY((DATE($B$3,11,1)-(WEEKDAY(DATE($B$3,11,1),$G$3)-1)+18)),"")</f>
        <v/>
      </c>
      <c r="N36" s="6">
        <f>IF(MONTH((DATE($B$3,11,1)-(WEEKDAY(DATE($B$3,11,1),$G$3)-1)+19))=11,DAY((DATE($B$3,11,1)-(WEEKDAY(DATE($B$3,11,1),$G$3)-1)+19)),"")</f>
        <v/>
      </c>
      <c r="O36" s="6">
        <f>IF(MONTH((DATE($B$3,11,1)-(WEEKDAY(DATE($B$3,11,1),$G$3)-1)+20))=11,DAY((DATE($B$3,11,1)-(WEEKDAY(DATE($B$3,11,1),$G$3)-1)+20)),"")</f>
        <v/>
      </c>
      <c r="Q36" s="6">
        <f>IF(MONTH((DATE($B$3,12,1)-(WEEKDAY(DATE($B$3,12,1),$G$3)-1)+14))=12,DAY((DATE($B$3,12,1)-(WEEKDAY(DATE($B$3,12,1),$G$3)-1)+14)),"")</f>
        <v/>
      </c>
      <c r="R36" s="6">
        <f>IF(MONTH((DATE($B$3,12,1)-(WEEKDAY(DATE($B$3,12,1),$G$3)-1)+15))=12,DAY((DATE($B$3,12,1)-(WEEKDAY(DATE($B$3,12,1),$G$3)-1)+15)),"")</f>
        <v/>
      </c>
      <c r="S36" s="6">
        <f>IF(MONTH((DATE($B$3,12,1)-(WEEKDAY(DATE($B$3,12,1),$G$3)-1)+16))=12,DAY((DATE($B$3,12,1)-(WEEKDAY(DATE($B$3,12,1),$G$3)-1)+16)),"")</f>
        <v/>
      </c>
      <c r="T36" s="6">
        <f>IF(MONTH((DATE($B$3,12,1)-(WEEKDAY(DATE($B$3,12,1),$G$3)-1)+17))=12,DAY((DATE($B$3,12,1)-(WEEKDAY(DATE($B$3,12,1),$G$3)-1)+17)),"")</f>
        <v/>
      </c>
      <c r="U36" s="6">
        <f>IF(MONTH((DATE($B$3,12,1)-(WEEKDAY(DATE($B$3,12,1),$G$3)-1)+18))=12,DAY((DATE($B$3,12,1)-(WEEKDAY(DATE($B$3,12,1),$G$3)-1)+18)),"")</f>
        <v/>
      </c>
      <c r="V36" s="6">
        <f>IF(MONTH((DATE($B$3,12,1)-(WEEKDAY(DATE($B$3,12,1),$G$3)-1)+19))=12,DAY((DATE($B$3,12,1)-(WEEKDAY(DATE($B$3,12,1),$G$3)-1)+19)),"")</f>
        <v/>
      </c>
      <c r="W36" s="6">
        <f>IF(MONTH((DATE($B$3,12,1)-(WEEKDAY(DATE($B$3,12,1),$G$3)-1)+20))=12,DAY((DATE($B$3,12,1)-(WEEKDAY(DATE($B$3,12,1),$G$3)-1)+20)),"")</f>
        <v/>
      </c>
    </row>
    <row r="37">
      <c r="A37" s="6">
        <f>IF(MONTH((DATE($B$3,10,1)-(WEEKDAY(DATE($B$3,10,1),$G$3)-1)+21))=10,DAY((DATE($B$3,10,1)-(WEEKDAY(DATE($B$3,10,1),$G$3)-1)+21)),"")</f>
        <v/>
      </c>
      <c r="B37" s="6">
        <f>IF(MONTH((DATE($B$3,10,1)-(WEEKDAY(DATE($B$3,10,1),$G$3)-1)+22))=10,DAY((DATE($B$3,10,1)-(WEEKDAY(DATE($B$3,10,1),$G$3)-1)+22)),"")</f>
        <v/>
      </c>
      <c r="C37" s="6">
        <f>IF(MONTH((DATE($B$3,10,1)-(WEEKDAY(DATE($B$3,10,1),$G$3)-1)+23))=10,DAY((DATE($B$3,10,1)-(WEEKDAY(DATE($B$3,10,1),$G$3)-1)+23)),"")</f>
        <v/>
      </c>
      <c r="D37" s="6">
        <f>IF(MONTH((DATE($B$3,10,1)-(WEEKDAY(DATE($B$3,10,1),$G$3)-1)+24))=10,DAY((DATE($B$3,10,1)-(WEEKDAY(DATE($B$3,10,1),$G$3)-1)+24)),"")</f>
        <v/>
      </c>
      <c r="E37" s="6">
        <f>IF(MONTH((DATE($B$3,10,1)-(WEEKDAY(DATE($B$3,10,1),$G$3)-1)+25))=10,DAY((DATE($B$3,10,1)-(WEEKDAY(DATE($B$3,10,1),$G$3)-1)+25)),"")</f>
        <v/>
      </c>
      <c r="F37" s="6">
        <f>IF(MONTH((DATE($B$3,10,1)-(WEEKDAY(DATE($B$3,10,1),$G$3)-1)+26))=10,DAY((DATE($B$3,10,1)-(WEEKDAY(DATE($B$3,10,1),$G$3)-1)+26)),"")</f>
        <v/>
      </c>
      <c r="G37" s="6">
        <f>IF(MONTH((DATE($B$3,10,1)-(WEEKDAY(DATE($B$3,10,1),$G$3)-1)+27))=10,DAY((DATE($B$3,10,1)-(WEEKDAY(DATE($B$3,10,1),$G$3)-1)+27)),"")</f>
        <v/>
      </c>
      <c r="I37" s="6">
        <f>IF(MONTH((DATE($B$3,11,1)-(WEEKDAY(DATE($B$3,11,1),$G$3)-1)+21))=11,DAY((DATE($B$3,11,1)-(WEEKDAY(DATE($B$3,11,1),$G$3)-1)+21)),"")</f>
        <v/>
      </c>
      <c r="J37" s="6">
        <f>IF(MONTH((DATE($B$3,11,1)-(WEEKDAY(DATE($B$3,11,1),$G$3)-1)+22))=11,DAY((DATE($B$3,11,1)-(WEEKDAY(DATE($B$3,11,1),$G$3)-1)+22)),"")</f>
        <v/>
      </c>
      <c r="K37" s="6">
        <f>IF(MONTH((DATE($B$3,11,1)-(WEEKDAY(DATE($B$3,11,1),$G$3)-1)+23))=11,DAY((DATE($B$3,11,1)-(WEEKDAY(DATE($B$3,11,1),$G$3)-1)+23)),"")</f>
        <v/>
      </c>
      <c r="L37" s="6">
        <f>IF(MONTH((DATE($B$3,11,1)-(WEEKDAY(DATE($B$3,11,1),$G$3)-1)+24))=11,DAY((DATE($B$3,11,1)-(WEEKDAY(DATE($B$3,11,1),$G$3)-1)+24)),"")</f>
        <v/>
      </c>
      <c r="M37" s="6">
        <f>IF(MONTH((DATE($B$3,11,1)-(WEEKDAY(DATE($B$3,11,1),$G$3)-1)+25))=11,DAY((DATE($B$3,11,1)-(WEEKDAY(DATE($B$3,11,1),$G$3)-1)+25)),"")</f>
        <v/>
      </c>
      <c r="N37" s="6">
        <f>IF(MONTH((DATE($B$3,11,1)-(WEEKDAY(DATE($B$3,11,1),$G$3)-1)+26))=11,DAY((DATE($B$3,11,1)-(WEEKDAY(DATE($B$3,11,1),$G$3)-1)+26)),"")</f>
        <v/>
      </c>
      <c r="O37" s="6">
        <f>IF(MONTH((DATE($B$3,11,1)-(WEEKDAY(DATE($B$3,11,1),$G$3)-1)+27))=11,DAY((DATE($B$3,11,1)-(WEEKDAY(DATE($B$3,11,1),$G$3)-1)+27)),"")</f>
        <v/>
      </c>
      <c r="Q37" s="6">
        <f>IF(MONTH((DATE($B$3,12,1)-(WEEKDAY(DATE($B$3,12,1),$G$3)-1)+21))=12,DAY((DATE($B$3,12,1)-(WEEKDAY(DATE($B$3,12,1),$G$3)-1)+21)),"")</f>
        <v/>
      </c>
      <c r="R37" s="6">
        <f>IF(MONTH((DATE($B$3,12,1)-(WEEKDAY(DATE($B$3,12,1),$G$3)-1)+22))=12,DAY((DATE($B$3,12,1)-(WEEKDAY(DATE($B$3,12,1),$G$3)-1)+22)),"")</f>
        <v/>
      </c>
      <c r="S37" s="6">
        <f>IF(MONTH((DATE($B$3,12,1)-(WEEKDAY(DATE($B$3,12,1),$G$3)-1)+23))=12,DAY((DATE($B$3,12,1)-(WEEKDAY(DATE($B$3,12,1),$G$3)-1)+23)),"")</f>
        <v/>
      </c>
      <c r="T37" s="6">
        <f>IF(MONTH((DATE($B$3,12,1)-(WEEKDAY(DATE($B$3,12,1),$G$3)-1)+24))=12,DAY((DATE($B$3,12,1)-(WEEKDAY(DATE($B$3,12,1),$G$3)-1)+24)),"")</f>
        <v/>
      </c>
      <c r="U37" s="6">
        <f>IF(MONTH((DATE($B$3,12,1)-(WEEKDAY(DATE($B$3,12,1),$G$3)-1)+25))=12,DAY((DATE($B$3,12,1)-(WEEKDAY(DATE($B$3,12,1),$G$3)-1)+25)),"")</f>
        <v/>
      </c>
      <c r="V37" s="6">
        <f>IF(MONTH((DATE($B$3,12,1)-(WEEKDAY(DATE($B$3,12,1),$G$3)-1)+26))=12,DAY((DATE($B$3,12,1)-(WEEKDAY(DATE($B$3,12,1),$G$3)-1)+26)),"")</f>
        <v/>
      </c>
      <c r="W37" s="6">
        <f>IF(MONTH((DATE($B$3,12,1)-(WEEKDAY(DATE($B$3,12,1),$G$3)-1)+27))=12,DAY((DATE($B$3,12,1)-(WEEKDAY(DATE($B$3,12,1),$G$3)-1)+27)),"")</f>
        <v/>
      </c>
    </row>
    <row r="38">
      <c r="A38" s="6">
        <f>IF(MONTH((DATE($B$3,10,1)-(WEEKDAY(DATE($B$3,10,1),$G$3)-1)+28))=10,DAY((DATE($B$3,10,1)-(WEEKDAY(DATE($B$3,10,1),$G$3)-1)+28)),"")</f>
        <v/>
      </c>
      <c r="B38" s="6">
        <f>IF(MONTH((DATE($B$3,10,1)-(WEEKDAY(DATE($B$3,10,1),$G$3)-1)+29))=10,DAY((DATE($B$3,10,1)-(WEEKDAY(DATE($B$3,10,1),$G$3)-1)+29)),"")</f>
        <v/>
      </c>
      <c r="C38" s="6">
        <f>IF(MONTH((DATE($B$3,10,1)-(WEEKDAY(DATE($B$3,10,1),$G$3)-1)+30))=10,DAY((DATE($B$3,10,1)-(WEEKDAY(DATE($B$3,10,1),$G$3)-1)+30)),"")</f>
        <v/>
      </c>
      <c r="D38" s="6">
        <f>IF(MONTH((DATE($B$3,10,1)-(WEEKDAY(DATE($B$3,10,1),$G$3)-1)+31))=10,DAY((DATE($B$3,10,1)-(WEEKDAY(DATE($B$3,10,1),$G$3)-1)+31)),"")</f>
        <v/>
      </c>
      <c r="E38" s="6">
        <f>IF(MONTH((DATE($B$3,10,1)-(WEEKDAY(DATE($B$3,10,1),$G$3)-1)+32))=10,DAY((DATE($B$3,10,1)-(WEEKDAY(DATE($B$3,10,1),$G$3)-1)+32)),"")</f>
        <v/>
      </c>
      <c r="F38" s="6">
        <f>IF(MONTH((DATE($B$3,10,1)-(WEEKDAY(DATE($B$3,10,1),$G$3)-1)+33))=10,DAY((DATE($B$3,10,1)-(WEEKDAY(DATE($B$3,10,1),$G$3)-1)+33)),"")</f>
        <v/>
      </c>
      <c r="G38" s="6">
        <f>IF(MONTH((DATE($B$3,10,1)-(WEEKDAY(DATE($B$3,10,1),$G$3)-1)+34))=10,DAY((DATE($B$3,10,1)-(WEEKDAY(DATE($B$3,10,1),$G$3)-1)+34)),"")</f>
        <v/>
      </c>
      <c r="I38" s="6">
        <f>IF(MONTH((DATE($B$3,11,1)-(WEEKDAY(DATE($B$3,11,1),$G$3)-1)+28))=11,DAY((DATE($B$3,11,1)-(WEEKDAY(DATE($B$3,11,1),$G$3)-1)+28)),"")</f>
        <v/>
      </c>
      <c r="J38" s="6">
        <f>IF(MONTH((DATE($B$3,11,1)-(WEEKDAY(DATE($B$3,11,1),$G$3)-1)+29))=11,DAY((DATE($B$3,11,1)-(WEEKDAY(DATE($B$3,11,1),$G$3)-1)+29)),"")</f>
        <v/>
      </c>
      <c r="K38" s="6">
        <f>IF(MONTH((DATE($B$3,11,1)-(WEEKDAY(DATE($B$3,11,1),$G$3)-1)+30))=11,DAY((DATE($B$3,11,1)-(WEEKDAY(DATE($B$3,11,1),$G$3)-1)+30)),"")</f>
        <v/>
      </c>
      <c r="L38" s="6">
        <f>IF(MONTH((DATE($B$3,11,1)-(WEEKDAY(DATE($B$3,11,1),$G$3)-1)+31))=11,DAY((DATE($B$3,11,1)-(WEEKDAY(DATE($B$3,11,1),$G$3)-1)+31)),"")</f>
        <v/>
      </c>
      <c r="M38" s="6">
        <f>IF(MONTH((DATE($B$3,11,1)-(WEEKDAY(DATE($B$3,11,1),$G$3)-1)+32))=11,DAY((DATE($B$3,11,1)-(WEEKDAY(DATE($B$3,11,1),$G$3)-1)+32)),"")</f>
        <v/>
      </c>
      <c r="N38" s="6">
        <f>IF(MONTH((DATE($B$3,11,1)-(WEEKDAY(DATE($B$3,11,1),$G$3)-1)+33))=11,DAY((DATE($B$3,11,1)-(WEEKDAY(DATE($B$3,11,1),$G$3)-1)+33)),"")</f>
        <v/>
      </c>
      <c r="O38" s="6">
        <f>IF(MONTH((DATE($B$3,11,1)-(WEEKDAY(DATE($B$3,11,1),$G$3)-1)+34))=11,DAY((DATE($B$3,11,1)-(WEEKDAY(DATE($B$3,11,1),$G$3)-1)+34)),"")</f>
        <v/>
      </c>
      <c r="Q38" s="6">
        <f>IF(MONTH((DATE($B$3,12,1)-(WEEKDAY(DATE($B$3,12,1),$G$3)-1)+28))=12,DAY((DATE($B$3,12,1)-(WEEKDAY(DATE($B$3,12,1),$G$3)-1)+28)),"")</f>
        <v/>
      </c>
      <c r="R38" s="6">
        <f>IF(MONTH((DATE($B$3,12,1)-(WEEKDAY(DATE($B$3,12,1),$G$3)-1)+29))=12,DAY((DATE($B$3,12,1)-(WEEKDAY(DATE($B$3,12,1),$G$3)-1)+29)),"")</f>
        <v/>
      </c>
      <c r="S38" s="6">
        <f>IF(MONTH((DATE($B$3,12,1)-(WEEKDAY(DATE($B$3,12,1),$G$3)-1)+30))=12,DAY((DATE($B$3,12,1)-(WEEKDAY(DATE($B$3,12,1),$G$3)-1)+30)),"")</f>
        <v/>
      </c>
      <c r="T38" s="6">
        <f>IF(MONTH((DATE($B$3,12,1)-(WEEKDAY(DATE($B$3,12,1),$G$3)-1)+31))=12,DAY((DATE($B$3,12,1)-(WEEKDAY(DATE($B$3,12,1),$G$3)-1)+31)),"")</f>
        <v/>
      </c>
      <c r="U38" s="6">
        <f>IF(MONTH((DATE($B$3,12,1)-(WEEKDAY(DATE($B$3,12,1),$G$3)-1)+32))=12,DAY((DATE($B$3,12,1)-(WEEKDAY(DATE($B$3,12,1),$G$3)-1)+32)),"")</f>
        <v/>
      </c>
      <c r="V38" s="6">
        <f>IF(MONTH((DATE($B$3,12,1)-(WEEKDAY(DATE($B$3,12,1),$G$3)-1)+33))=12,DAY((DATE($B$3,12,1)-(WEEKDAY(DATE($B$3,12,1),$G$3)-1)+33)),"")</f>
        <v/>
      </c>
      <c r="W38" s="6">
        <f>IF(MONTH((DATE($B$3,12,1)-(WEEKDAY(DATE($B$3,12,1),$G$3)-1)+34))=12,DAY((DATE($B$3,12,1)-(WEEKDAY(DATE($B$3,12,1),$G$3)-1)+34)),"")</f>
        <v/>
      </c>
    </row>
    <row r="39">
      <c r="A39" s="6">
        <f>IF(MONTH((DATE($B$3,10,1)-(WEEKDAY(DATE($B$3,10,1),$G$3)-1)+35))=10,DAY((DATE($B$3,10,1)-(WEEKDAY(DATE($B$3,10,1),$G$3)-1)+35)),"")</f>
        <v/>
      </c>
      <c r="B39" s="6">
        <f>IF(MONTH((DATE($B$3,10,1)-(WEEKDAY(DATE($B$3,10,1),$G$3)-1)+36))=10,DAY((DATE($B$3,10,1)-(WEEKDAY(DATE($B$3,10,1),$G$3)-1)+36)),"")</f>
        <v/>
      </c>
      <c r="C39" s="6">
        <f>IF(MONTH((DATE($B$3,10,1)-(WEEKDAY(DATE($B$3,10,1),$G$3)-1)+37))=10,DAY((DATE($B$3,10,1)-(WEEKDAY(DATE($B$3,10,1),$G$3)-1)+37)),"")</f>
        <v/>
      </c>
      <c r="D39" s="6">
        <f>IF(MONTH((DATE($B$3,10,1)-(WEEKDAY(DATE($B$3,10,1),$G$3)-1)+38))=10,DAY((DATE($B$3,10,1)-(WEEKDAY(DATE($B$3,10,1),$G$3)-1)+38)),"")</f>
        <v/>
      </c>
      <c r="E39" s="6">
        <f>IF(MONTH((DATE($B$3,10,1)-(WEEKDAY(DATE($B$3,10,1),$G$3)-1)+39))=10,DAY((DATE($B$3,10,1)-(WEEKDAY(DATE($B$3,10,1),$G$3)-1)+39)),"")</f>
        <v/>
      </c>
      <c r="F39" s="6">
        <f>IF(MONTH((DATE($B$3,10,1)-(WEEKDAY(DATE($B$3,10,1),$G$3)-1)+40))=10,DAY((DATE($B$3,10,1)-(WEEKDAY(DATE($B$3,10,1),$G$3)-1)+40)),"")</f>
        <v/>
      </c>
      <c r="G39" s="6">
        <f>IF(MONTH((DATE($B$3,10,1)-(WEEKDAY(DATE($B$3,10,1),$G$3)-1)+41))=10,DAY((DATE($B$3,10,1)-(WEEKDAY(DATE($B$3,10,1),$G$3)-1)+41)),"")</f>
        <v/>
      </c>
      <c r="I39" s="6">
        <f>IF(MONTH((DATE($B$3,11,1)-(WEEKDAY(DATE($B$3,11,1),$G$3)-1)+35))=11,DAY((DATE($B$3,11,1)-(WEEKDAY(DATE($B$3,11,1),$G$3)-1)+35)),"")</f>
        <v/>
      </c>
      <c r="J39" s="6">
        <f>IF(MONTH((DATE($B$3,11,1)-(WEEKDAY(DATE($B$3,11,1),$G$3)-1)+36))=11,DAY((DATE($B$3,11,1)-(WEEKDAY(DATE($B$3,11,1),$G$3)-1)+36)),"")</f>
        <v/>
      </c>
      <c r="K39" s="6">
        <f>IF(MONTH((DATE($B$3,11,1)-(WEEKDAY(DATE($B$3,11,1),$G$3)-1)+37))=11,DAY((DATE($B$3,11,1)-(WEEKDAY(DATE($B$3,11,1),$G$3)-1)+37)),"")</f>
        <v/>
      </c>
      <c r="L39" s="6">
        <f>IF(MONTH((DATE($B$3,11,1)-(WEEKDAY(DATE($B$3,11,1),$G$3)-1)+38))=11,DAY((DATE($B$3,11,1)-(WEEKDAY(DATE($B$3,11,1),$G$3)-1)+38)),"")</f>
        <v/>
      </c>
      <c r="M39" s="6">
        <f>IF(MONTH((DATE($B$3,11,1)-(WEEKDAY(DATE($B$3,11,1),$G$3)-1)+39))=11,DAY((DATE($B$3,11,1)-(WEEKDAY(DATE($B$3,11,1),$G$3)-1)+39)),"")</f>
        <v/>
      </c>
      <c r="N39" s="6">
        <f>IF(MONTH((DATE($B$3,11,1)-(WEEKDAY(DATE($B$3,11,1),$G$3)-1)+40))=11,DAY((DATE($B$3,11,1)-(WEEKDAY(DATE($B$3,11,1),$G$3)-1)+40)),"")</f>
        <v/>
      </c>
      <c r="O39" s="6">
        <f>IF(MONTH((DATE($B$3,11,1)-(WEEKDAY(DATE($B$3,11,1),$G$3)-1)+41))=11,DAY((DATE($B$3,11,1)-(WEEKDAY(DATE($B$3,11,1),$G$3)-1)+41)),"")</f>
        <v/>
      </c>
      <c r="Q39" s="6">
        <f>IF(MONTH((DATE($B$3,12,1)-(WEEKDAY(DATE($B$3,12,1),$G$3)-1)+35))=12,DAY((DATE($B$3,12,1)-(WEEKDAY(DATE($B$3,12,1),$G$3)-1)+35)),"")</f>
        <v/>
      </c>
      <c r="R39" s="6">
        <f>IF(MONTH((DATE($B$3,12,1)-(WEEKDAY(DATE($B$3,12,1),$G$3)-1)+36))=12,DAY((DATE($B$3,12,1)-(WEEKDAY(DATE($B$3,12,1),$G$3)-1)+36)),"")</f>
        <v/>
      </c>
      <c r="S39" s="6">
        <f>IF(MONTH((DATE($B$3,12,1)-(WEEKDAY(DATE($B$3,12,1),$G$3)-1)+37))=12,DAY((DATE($B$3,12,1)-(WEEKDAY(DATE($B$3,12,1),$G$3)-1)+37)),"")</f>
        <v/>
      </c>
      <c r="T39" s="6">
        <f>IF(MONTH((DATE($B$3,12,1)-(WEEKDAY(DATE($B$3,12,1),$G$3)-1)+38))=12,DAY((DATE($B$3,12,1)-(WEEKDAY(DATE($B$3,12,1),$G$3)-1)+38)),"")</f>
        <v/>
      </c>
      <c r="U39" s="6">
        <f>IF(MONTH((DATE($B$3,12,1)-(WEEKDAY(DATE($B$3,12,1),$G$3)-1)+39))=12,DAY((DATE($B$3,12,1)-(WEEKDAY(DATE($B$3,12,1),$G$3)-1)+39)),"")</f>
        <v/>
      </c>
      <c r="V39" s="6">
        <f>IF(MONTH((DATE($B$3,12,1)-(WEEKDAY(DATE($B$3,12,1),$G$3)-1)+40))=12,DAY((DATE($B$3,12,1)-(WEEKDAY(DATE($B$3,12,1),$G$3)-1)+40)),"")</f>
        <v/>
      </c>
      <c r="W39" s="6">
        <f>IF(MONTH((DATE($B$3,12,1)-(WEEKDAY(DATE($B$3,12,1),$G$3)-1)+41))=12,DAY((DATE($B$3,12,1)-(WEEKDAY(DATE($B$3,12,1),$G$3)-1)+41)),"")</f>
        <v/>
      </c>
    </row>
    <row r="41">
      <c r="A41" s="7">
        <f>HYPERLINK("#'Events'!A1","Go to Events sheet")</f>
        <v/>
      </c>
    </row>
  </sheetData>
  <mergeCells count="12">
    <mergeCell ref="A32:G32"/>
    <mergeCell ref="Q32:W32"/>
    <mergeCell ref="I5:O5"/>
    <mergeCell ref="A14:G14"/>
    <mergeCell ref="I23:O23"/>
    <mergeCell ref="I14:O14"/>
    <mergeCell ref="A23:G23"/>
    <mergeCell ref="I32:O32"/>
    <mergeCell ref="Q5:W5"/>
    <mergeCell ref="Q23:W23"/>
    <mergeCell ref="A5:G5"/>
    <mergeCell ref="Q14:W14"/>
  </mergeCells>
  <conditionalFormatting sqref="A7:G12">
    <cfRule type="expression" priority="1" dxfId="0">
      <formula>AND(A7&lt;&gt;"",COUNTIF(Events!$A$5:$A$200,DATE($B$3,1,A7))&gt;0)</formula>
    </cfRule>
  </conditionalFormatting>
  <conditionalFormatting sqref="I7:O12">
    <cfRule type="expression" priority="2" dxfId="0">
      <formula>AND(I7&lt;&gt;"",COUNTIF(Events!$A$5:$A$200,DATE($B$3,2,I7))&gt;0)</formula>
    </cfRule>
  </conditionalFormatting>
  <conditionalFormatting sqref="Q7:W12">
    <cfRule type="expression" priority="3" dxfId="0">
      <formula>AND(Q7&lt;&gt;"",COUNTIF(Events!$A$5:$A$200,DATE($B$3,3,Q7))&gt;0)</formula>
    </cfRule>
  </conditionalFormatting>
  <conditionalFormatting sqref="A16:G21">
    <cfRule type="expression" priority="4" dxfId="0">
      <formula>AND(A16&lt;&gt;"",COUNTIF(Events!$A$5:$A$200,DATE($B$3,4,A16))&gt;0)</formula>
    </cfRule>
  </conditionalFormatting>
  <conditionalFormatting sqref="I16:O21">
    <cfRule type="expression" priority="5" dxfId="0">
      <formula>AND(I16&lt;&gt;"",COUNTIF(Events!$A$5:$A$200,DATE($B$3,5,I16))&gt;0)</formula>
    </cfRule>
  </conditionalFormatting>
  <conditionalFormatting sqref="Q16:W21">
    <cfRule type="expression" priority="6" dxfId="0">
      <formula>AND(Q16&lt;&gt;"",COUNTIF(Events!$A$5:$A$200,DATE($B$3,6,Q16))&gt;0)</formula>
    </cfRule>
  </conditionalFormatting>
  <conditionalFormatting sqref="A25:G30">
    <cfRule type="expression" priority="7" dxfId="0">
      <formula>AND(A25&lt;&gt;"",COUNTIF(Events!$A$5:$A$200,DATE($B$3,7,A25))&gt;0)</formula>
    </cfRule>
  </conditionalFormatting>
  <conditionalFormatting sqref="I25:O30">
    <cfRule type="expression" priority="8" dxfId="0">
      <formula>AND(I25&lt;&gt;"",COUNTIF(Events!$A$5:$A$200,DATE($B$3,8,I25))&gt;0)</formula>
    </cfRule>
  </conditionalFormatting>
  <conditionalFormatting sqref="Q25:W30">
    <cfRule type="expression" priority="9" dxfId="0">
      <formula>AND(Q25&lt;&gt;"",COUNTIF(Events!$A$5:$A$200,DATE($B$3,9,Q25))&gt;0)</formula>
    </cfRule>
  </conditionalFormatting>
  <conditionalFormatting sqref="A34:G39">
    <cfRule type="expression" priority="10" dxfId="0">
      <formula>AND(A34&lt;&gt;"",COUNTIF(Events!$A$5:$A$200,DATE($B$3,10,A34))&gt;0)</formula>
    </cfRule>
  </conditionalFormatting>
  <conditionalFormatting sqref="I34:O39">
    <cfRule type="expression" priority="11" dxfId="0">
      <formula>AND(I34&lt;&gt;"",COUNTIF(Events!$A$5:$A$200,DATE($B$3,11,I34))&gt;0)</formula>
    </cfRule>
  </conditionalFormatting>
  <conditionalFormatting sqref="Q34:W39">
    <cfRule type="expression" priority="12" dxfId="0">
      <formula>AND(Q34&lt;&gt;"",COUNTIF(Events!$A$5:$A$200,DATE($B$3,12,Q34))&gt;0)</formula>
    </cfRule>
  </conditionalFormatting>
  <dataValidations count="2">
    <dataValidation sqref="G3" showDropDown="0" showInputMessage="0" showErrorMessage="0" allowBlank="0" type="list">
      <formula1>"1,2"</formula1>
    </dataValidation>
    <dataValidation sqref="B3" showDropDown="0" showInputMessage="0" showErrorMessage="0" allowBlank="0" type="whole" operator="between">
      <formula1>1900</formula1>
      <formula2>2200</formula2>
    </dataValidation>
  </dataValidation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</cols>
  <sheetData>
    <row r="1">
      <c r="A1" s="1" t="inlineStr">
        <is>
          <t>Events and holidays</t>
        </is>
      </c>
    </row>
    <row r="2">
      <c r="A2" s="2" t="inlineStr">
        <is>
          <t>Add dates in column A. They are highlighted on the calendar.</t>
        </is>
      </c>
    </row>
    <row r="4">
      <c r="A4" s="8" t="inlineStr">
        <is>
          <t>Date</t>
        </is>
      </c>
      <c r="B4" s="8" t="inlineStr">
        <is>
          <t>Event</t>
        </is>
      </c>
      <c r="D4" s="7">
        <f>HYPERLINK("#'2027'!A1","Back to calendar")</f>
        <v/>
      </c>
    </row>
    <row r="5">
      <c r="A5" s="9" t="n">
        <v>46388</v>
      </c>
      <c r="B5" t="inlineStr">
        <is>
          <t>New Year's Day</t>
        </is>
      </c>
    </row>
    <row r="6">
      <c r="A6" s="9" t="n">
        <v>46405</v>
      </c>
      <c r="B6" t="inlineStr">
        <is>
          <t>Martin Luther King Jr. Day</t>
        </is>
      </c>
    </row>
    <row r="7">
      <c r="A7" s="9" t="n">
        <v>46433</v>
      </c>
      <c r="B7" t="inlineStr">
        <is>
          <t>Presidents' Day</t>
        </is>
      </c>
    </row>
    <row r="8">
      <c r="A8" s="9" t="n">
        <v>46538</v>
      </c>
      <c r="B8" t="inlineStr">
        <is>
          <t>Memorial Day</t>
        </is>
      </c>
    </row>
    <row r="9">
      <c r="A9" s="9" t="n">
        <v>46557</v>
      </c>
      <c r="B9" t="inlineStr">
        <is>
          <t>Juneteenth</t>
        </is>
      </c>
    </row>
    <row r="10">
      <c r="A10" s="9" t="n">
        <v>46572</v>
      </c>
      <c r="B10" t="inlineStr">
        <is>
          <t>Independence Day</t>
        </is>
      </c>
    </row>
    <row r="11">
      <c r="A11" s="9" t="n">
        <v>46636</v>
      </c>
      <c r="B11" t="inlineStr">
        <is>
          <t>Labor Day</t>
        </is>
      </c>
    </row>
    <row r="12">
      <c r="A12" s="9" t="n">
        <v>46671</v>
      </c>
      <c r="B12" t="inlineStr">
        <is>
          <t>Columbus Day</t>
        </is>
      </c>
    </row>
    <row r="13">
      <c r="A13" s="9" t="n">
        <v>46702</v>
      </c>
      <c r="B13" t="inlineStr">
        <is>
          <t>Veterans Day</t>
        </is>
      </c>
    </row>
    <row r="14">
      <c r="A14" s="9" t="n">
        <v>46716</v>
      </c>
      <c r="B14" t="inlineStr">
        <is>
          <t>Thanksgiving</t>
        </is>
      </c>
    </row>
    <row r="15">
      <c r="A15" s="9" t="n">
        <v>46746</v>
      </c>
      <c r="B15" t="inlineStr">
        <is>
          <t>Christmas Day</t>
        </is>
      </c>
    </row>
    <row r="16">
      <c r="A16" s="10" t="n"/>
      <c r="B16" s="11" t="n"/>
    </row>
    <row r="17">
      <c r="A17" s="10" t="n"/>
      <c r="B17" s="11" t="n"/>
    </row>
    <row r="18">
      <c r="A18" s="10" t="n"/>
      <c r="B18" s="11" t="n"/>
    </row>
    <row r="19">
      <c r="A19" s="10" t="n"/>
      <c r="B19" s="11" t="n"/>
    </row>
    <row r="20">
      <c r="A20" s="10" t="n"/>
      <c r="B20" s="11" t="n"/>
    </row>
    <row r="21">
      <c r="A21" s="10" t="n"/>
      <c r="B21" s="11" t="n"/>
    </row>
    <row r="22">
      <c r="A22" s="10" t="n"/>
      <c r="B22" s="11" t="n"/>
    </row>
    <row r="23">
      <c r="A23" s="10" t="n"/>
      <c r="B23" s="11" t="n"/>
    </row>
    <row r="24">
      <c r="A24" s="10" t="n"/>
      <c r="B24" s="11" t="n"/>
    </row>
    <row r="25">
      <c r="A25" s="10" t="n"/>
      <c r="B25" s="11" t="n"/>
    </row>
    <row r="26">
      <c r="A26" s="10" t="n"/>
      <c r="B26" s="11" t="n"/>
    </row>
    <row r="27">
      <c r="A27" s="10" t="n"/>
      <c r="B27" s="11" t="n"/>
    </row>
    <row r="28">
      <c r="A28" s="10" t="n"/>
      <c r="B28" s="11" t="n"/>
    </row>
    <row r="29">
      <c r="A29" s="10" t="n"/>
      <c r="B29" s="11" t="n"/>
    </row>
    <row r="30">
      <c r="A30" s="10" t="n"/>
      <c r="B30" s="11" t="n"/>
    </row>
    <row r="31">
      <c r="A31" s="10" t="n"/>
      <c r="B31" s="11" t="n"/>
    </row>
    <row r="32">
      <c r="A32" s="10" t="n"/>
      <c r="B32" s="11" t="n"/>
    </row>
    <row r="33">
      <c r="A33" s="10" t="n"/>
      <c r="B33" s="11" t="n"/>
    </row>
    <row r="34">
      <c r="A34" s="10" t="n"/>
      <c r="B34" s="11" t="n"/>
    </row>
    <row r="35">
      <c r="A35" s="10" t="n"/>
      <c r="B35" s="11" t="n"/>
    </row>
    <row r="36">
      <c r="A36" s="10" t="n"/>
      <c r="B36" s="11" t="n"/>
    </row>
    <row r="37">
      <c r="A37" s="10" t="n"/>
      <c r="B37" s="11" t="n"/>
    </row>
    <row r="38">
      <c r="A38" s="10" t="n"/>
      <c r="B38" s="11" t="n"/>
    </row>
    <row r="39">
      <c r="A39" s="10" t="n"/>
      <c r="B39" s="11" t="n"/>
    </row>
    <row r="40">
      <c r="A40" s="10" t="n"/>
      <c r="B40" s="11" t="n"/>
    </row>
    <row r="41">
      <c r="A41" s="10" t="n"/>
      <c r="B41" s="11" t="n"/>
    </row>
    <row r="42">
      <c r="A42" s="10" t="n"/>
      <c r="B42" s="11" t="n"/>
    </row>
    <row r="43">
      <c r="A43" s="10" t="n"/>
      <c r="B43" s="11" t="n"/>
    </row>
    <row r="44">
      <c r="A44" s="10" t="n"/>
      <c r="B44" s="11" t="n"/>
    </row>
    <row r="45">
      <c r="A45" s="10" t="n"/>
      <c r="B45" s="11" t="n"/>
    </row>
    <row r="46">
      <c r="A46" s="10" t="n"/>
      <c r="B46" s="11" t="n"/>
    </row>
    <row r="47">
      <c r="A47" s="10" t="n"/>
      <c r="B47" s="11" t="n"/>
    </row>
    <row r="48">
      <c r="A48" s="10" t="n"/>
      <c r="B48" s="11" t="n"/>
    </row>
    <row r="49">
      <c r="A49" s="10" t="n"/>
      <c r="B49" s="11" t="n"/>
    </row>
    <row r="50">
      <c r="A50" s="10" t="n"/>
      <c r="B50" s="11" t="n"/>
    </row>
    <row r="51">
      <c r="A51" s="10" t="n"/>
      <c r="B51" s="11" t="n"/>
    </row>
    <row r="52">
      <c r="A52" s="10" t="n"/>
      <c r="B52" s="11" t="n"/>
    </row>
    <row r="53">
      <c r="A53" s="10" t="n"/>
      <c r="B53" s="11" t="n"/>
    </row>
    <row r="54">
      <c r="A54" s="10" t="n"/>
      <c r="B54" s="11" t="n"/>
    </row>
    <row r="55">
      <c r="A55" s="10" t="n"/>
      <c r="B55" s="11" t="n"/>
    </row>
    <row r="56">
      <c r="A56" s="10" t="n"/>
      <c r="B56" s="11" t="n"/>
    </row>
    <row r="57">
      <c r="A57" s="10" t="n"/>
      <c r="B57" s="11" t="n"/>
    </row>
    <row r="58">
      <c r="A58" s="10" t="n"/>
      <c r="B58" s="11" t="n"/>
    </row>
    <row r="59">
      <c r="A59" s="10" t="n"/>
      <c r="B59" s="11" t="n"/>
    </row>
    <row r="60">
      <c r="A60" s="10" t="n"/>
      <c r="B60" s="11" t="n"/>
    </row>
    <row r="61">
      <c r="A61" s="10" t="n"/>
      <c r="B61" s="11" t="n"/>
    </row>
    <row r="62">
      <c r="A62" s="10" t="n"/>
      <c r="B62" s="11" t="n"/>
    </row>
    <row r="63">
      <c r="A63" s="10" t="n"/>
      <c r="B63" s="11" t="n"/>
    </row>
    <row r="64">
      <c r="A64" s="10" t="n"/>
      <c r="B64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2" t="inlineStr">
        <is>
          <t>How to use this calendar</t>
        </is>
      </c>
    </row>
    <row r="2">
      <c r="A2" t="inlineStr">
        <is>
          <t>1. Change the year in the yellow cell on the calendar sheet.</t>
        </is>
      </c>
    </row>
    <row r="3">
      <c r="A3" t="inlineStr">
        <is>
          <t>2. Choose Sunday (1) or Monday (2) as the first day of the week.</t>
        </is>
      </c>
    </row>
    <row r="4">
      <c r="A4" t="inlineStr">
        <is>
          <t>3. Add holidays, birthdays and deadlines in the Events sheet. Those dates turn green.</t>
        </is>
      </c>
    </row>
    <row r="5">
      <c r="A5" t="inlineStr">
        <is>
          <t>4. Print: File &gt; Print. The calendar is set to fit one landscape page.</t>
        </is>
      </c>
    </row>
    <row r="6">
      <c r="A6" t="inlineStr">
        <is>
          <t>Free template by Softotech Solutions, softotech.net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2026-11-04T00:17:21Z</dcterms:created>
  <dcterms:modified xmlns:dcterms="http://purl.org/dc/terms/" xmlns:xsi="http://www.w3.org/2001/XMLSchema-instance" xsi:type="dcterms:W3CDTF">2026-11-04T00:17:21Z</dcterms:modified>
</cp:coreProperties>
</file>